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kmgilbertson_detr_nv_gov/Documents/GWDB/MEETINGS- UPCOMING/4.17.2024-Full Board/Title Reports/"/>
    </mc:Choice>
  </mc:AlternateContent>
  <xr:revisionPtr revIDLastSave="47" documentId="8_{796BC0E0-9C24-4753-966D-74E3A0AAE098}" xr6:coauthVersionLast="47" xr6:coauthVersionMax="47" xr10:uidLastSave="{10DB9E76-2DBF-4C1C-8A08-7C225A144002}"/>
  <bookViews>
    <workbookView xWindow="28680" yWindow="-120" windowWidth="29040" windowHeight="15840" xr2:uid="{00513957-2900-480C-B8EF-97BDF61BF370}"/>
  </bookViews>
  <sheets>
    <sheet name="Title I Adult (WC)" sheetId="2" r:id="rId1"/>
    <sheet name="Title I DW (WC)" sheetId="4" r:id="rId2"/>
    <sheet name="Title I Youth (WC)" sheetId="3" r:id="rId3"/>
    <sheet name="Title I Adult Q3 (NVWorks)" sheetId="5" r:id="rId4"/>
    <sheet name="Title I DW Q3 (NVWorks)" sheetId="7" r:id="rId5"/>
    <sheet name="Title I Youth Q3 (NVWorks)" sheetId="6" r:id="rId6"/>
    <sheet name="Title II April 17" sheetId="8" r:id="rId7"/>
    <sheet name="Title III" sheetId="10" r:id="rId8"/>
    <sheet name="Title IV" sheetId="11" r:id="rId9"/>
    <sheet name="DWSS" sheetId="12" r:id="rId10"/>
  </sheets>
  <definedNames>
    <definedName name="_xlnm.Print_Area" localSheetId="0">'Title I Adult (WC)'!$A$1:$F$66</definedName>
    <definedName name="_xlnm.Print_Area" localSheetId="1">'Title I DW (WC)'!$A$1:$F$66</definedName>
    <definedName name="_xlnm.Print_Area" localSheetId="2">'Title I Youth (WC)'!$A$1:$F$66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D5" i="11"/>
  <c r="D4" i="11"/>
  <c r="D3" i="11"/>
  <c r="H9" i="10"/>
  <c r="D22" i="8"/>
  <c r="F20" i="8"/>
  <c r="E20" i="8"/>
  <c r="F19" i="8"/>
  <c r="E19" i="8"/>
  <c r="F18" i="8"/>
  <c r="E18" i="8"/>
  <c r="F17" i="8"/>
  <c r="E17" i="8"/>
  <c r="I5" i="7"/>
  <c r="I4" i="7"/>
  <c r="I3" i="7"/>
  <c r="I5" i="6"/>
  <c r="E5" i="6"/>
  <c r="E4" i="6"/>
  <c r="I3" i="6"/>
  <c r="E3" i="6"/>
  <c r="I5" i="5"/>
  <c r="E5" i="5"/>
  <c r="I4" i="5"/>
  <c r="E4" i="5"/>
  <c r="I3" i="5"/>
  <c r="E3" i="5"/>
  <c r="C37" i="3" l="1"/>
  <c r="C35" i="3"/>
  <c r="C36" i="3" s="1"/>
  <c r="C37" i="4"/>
  <c r="C35" i="4"/>
  <c r="C36" i="4" s="1"/>
  <c r="C37" i="2"/>
  <c r="C35" i="2"/>
  <c r="C36" i="2" s="1"/>
  <c r="D40" i="3"/>
  <c r="C40" i="4"/>
  <c r="D40" i="4"/>
  <c r="D40" i="2"/>
  <c r="C40" i="3" l="1"/>
  <c r="H40" i="2"/>
  <c r="H53" i="2" l="1"/>
  <c r="H66" i="2" s="1"/>
  <c r="C40" i="2" l="1"/>
  <c r="H47" i="3"/>
  <c r="C34" i="3"/>
  <c r="H34" i="3"/>
  <c r="H47" i="2"/>
  <c r="H34" i="2"/>
  <c r="C34" i="2"/>
  <c r="K47" i="3"/>
  <c r="K34" i="3"/>
  <c r="K21" i="3"/>
  <c r="K8" i="3"/>
  <c r="B34" i="4"/>
  <c r="B34" i="3"/>
  <c r="B34" i="2"/>
  <c r="C34" i="4" l="1"/>
  <c r="D34" i="3"/>
  <c r="D34" i="4"/>
  <c r="D34" i="2"/>
  <c r="A3" i="3" l="1"/>
  <c r="A3" i="4"/>
  <c r="H21" i="2"/>
  <c r="C21" i="2" s="1"/>
  <c r="H21" i="3"/>
  <c r="C21" i="3"/>
  <c r="E53" i="3"/>
  <c r="E40" i="3"/>
  <c r="E53" i="2"/>
  <c r="E40" i="2"/>
  <c r="E40" i="4"/>
  <c r="E53" i="4"/>
  <c r="H14" i="2"/>
  <c r="C14" i="2" s="1"/>
  <c r="E14" i="2" s="1"/>
  <c r="H27" i="2" l="1"/>
  <c r="H16" i="2"/>
  <c r="H29" i="2"/>
  <c r="D66" i="3" l="1"/>
  <c r="C14" i="3"/>
  <c r="B21" i="3"/>
  <c r="B21" i="4"/>
  <c r="B21" i="2"/>
  <c r="E14" i="3" l="1"/>
  <c r="C27" i="3"/>
  <c r="E27" i="3" s="1"/>
  <c r="C22" i="4"/>
  <c r="C23" i="4" s="1"/>
  <c r="C24" i="4"/>
  <c r="D21" i="3"/>
  <c r="D21" i="4"/>
  <c r="C21" i="4" s="1"/>
  <c r="D21" i="2"/>
  <c r="C27" i="2" l="1"/>
  <c r="E27" i="2" s="1"/>
  <c r="C66" i="3"/>
  <c r="E66" i="3" s="1"/>
  <c r="D62" i="3"/>
  <c r="D63" i="3" s="1"/>
  <c r="B62" i="3"/>
  <c r="B63" i="3" s="1"/>
  <c r="D61" i="3"/>
  <c r="B61" i="3"/>
  <c r="D60" i="3"/>
  <c r="B60" i="3"/>
  <c r="D62" i="4"/>
  <c r="B62" i="4"/>
  <c r="B63" i="4" s="1"/>
  <c r="D61" i="4"/>
  <c r="B61" i="4"/>
  <c r="D60" i="4"/>
  <c r="B62" i="2"/>
  <c r="B63" i="2" s="1"/>
  <c r="B61" i="2"/>
  <c r="B60" i="2"/>
  <c r="D61" i="2"/>
  <c r="D62" i="2"/>
  <c r="D63" i="2" s="1"/>
  <c r="D60" i="2"/>
  <c r="F50" i="3"/>
  <c r="E50" i="3"/>
  <c r="F49" i="3"/>
  <c r="F48" i="3"/>
  <c r="E49" i="3"/>
  <c r="F47" i="3"/>
  <c r="E47" i="3"/>
  <c r="F37" i="3"/>
  <c r="E37" i="3"/>
  <c r="F36" i="3"/>
  <c r="F35" i="3"/>
  <c r="E36" i="3"/>
  <c r="F34" i="3"/>
  <c r="E34" i="3"/>
  <c r="F50" i="4"/>
  <c r="E50" i="4"/>
  <c r="F49" i="4"/>
  <c r="F48" i="4"/>
  <c r="E49" i="4"/>
  <c r="E47" i="4"/>
  <c r="F47" i="4"/>
  <c r="F37" i="4"/>
  <c r="E37" i="4"/>
  <c r="F36" i="4"/>
  <c r="F35" i="4"/>
  <c r="E35" i="4"/>
  <c r="E34" i="4"/>
  <c r="F34" i="4"/>
  <c r="H55" i="2"/>
  <c r="F50" i="2"/>
  <c r="E50" i="2"/>
  <c r="F49" i="2"/>
  <c r="F48" i="2"/>
  <c r="E48" i="2"/>
  <c r="F47" i="2"/>
  <c r="E47" i="2"/>
  <c r="H42" i="2"/>
  <c r="F37" i="2"/>
  <c r="E37" i="2"/>
  <c r="F36" i="2"/>
  <c r="E36" i="2"/>
  <c r="F35" i="2"/>
  <c r="E35" i="2"/>
  <c r="F34" i="2"/>
  <c r="E34" i="2"/>
  <c r="F24" i="3"/>
  <c r="C24" i="3"/>
  <c r="E24" i="3" s="1"/>
  <c r="F23" i="3"/>
  <c r="F22" i="3"/>
  <c r="C22" i="3"/>
  <c r="F21" i="3"/>
  <c r="F24" i="4"/>
  <c r="E24" i="4"/>
  <c r="F23" i="4"/>
  <c r="F22" i="4"/>
  <c r="E23" i="4"/>
  <c r="E21" i="4"/>
  <c r="F21" i="4"/>
  <c r="F24" i="2"/>
  <c r="C24" i="2"/>
  <c r="E24" i="2" s="1"/>
  <c r="F23" i="2"/>
  <c r="F22" i="2"/>
  <c r="C22" i="2"/>
  <c r="C23" i="2" s="1"/>
  <c r="F21" i="2"/>
  <c r="F62" i="3" l="1"/>
  <c r="E21" i="3"/>
  <c r="C23" i="3"/>
  <c r="E23" i="2"/>
  <c r="E22" i="2"/>
  <c r="F60" i="2"/>
  <c r="F62" i="2"/>
  <c r="E21" i="2"/>
  <c r="F61" i="2"/>
  <c r="E35" i="3"/>
  <c r="F61" i="3"/>
  <c r="F60" i="3"/>
  <c r="E48" i="4"/>
  <c r="F62" i="4"/>
  <c r="F63" i="3"/>
  <c r="F61" i="4"/>
  <c r="D63" i="4"/>
  <c r="F63" i="2"/>
  <c r="E49" i="2"/>
  <c r="E48" i="3"/>
  <c r="E36" i="4"/>
  <c r="E22" i="3"/>
  <c r="E22" i="4"/>
  <c r="C27" i="4"/>
  <c r="L27" i="2" l="1"/>
  <c r="E27" i="4"/>
  <c r="E23" i="3"/>
  <c r="D66" i="2"/>
  <c r="C66" i="2"/>
  <c r="C14" i="4"/>
  <c r="D66" i="4"/>
  <c r="F63" i="4"/>
  <c r="K66" i="2" l="1"/>
  <c r="E66" i="2"/>
  <c r="L14" i="2"/>
  <c r="E14" i="4"/>
  <c r="C66" i="4"/>
  <c r="E66" i="4" s="1"/>
  <c r="C11" i="4"/>
  <c r="C11" i="2"/>
  <c r="E11" i="2" s="1"/>
  <c r="C11" i="3"/>
  <c r="C9" i="3"/>
  <c r="C10" i="3" s="1"/>
  <c r="C62" i="3" s="1"/>
  <c r="F9" i="3"/>
  <c r="F10" i="3"/>
  <c r="E11" i="3"/>
  <c r="F11" i="3"/>
  <c r="C8" i="4"/>
  <c r="C60" i="4" s="1"/>
  <c r="E60" i="4" s="1"/>
  <c r="C9" i="4"/>
  <c r="C61" i="4" s="1"/>
  <c r="E61" i="4" s="1"/>
  <c r="F11" i="4"/>
  <c r="E11" i="4"/>
  <c r="F10" i="4"/>
  <c r="F9" i="4"/>
  <c r="F11" i="2"/>
  <c r="F9" i="2"/>
  <c r="F10" i="2"/>
  <c r="C9" i="2"/>
  <c r="C61" i="2" s="1"/>
  <c r="E61" i="2" s="1"/>
  <c r="C63" i="3" l="1"/>
  <c r="E63" i="3" s="1"/>
  <c r="E62" i="3"/>
  <c r="E10" i="3"/>
  <c r="E9" i="3"/>
  <c r="C61" i="3"/>
  <c r="E61" i="3" s="1"/>
  <c r="E9" i="4"/>
  <c r="C10" i="4"/>
  <c r="E8" i="4"/>
  <c r="C10" i="2"/>
  <c r="E9" i="2"/>
  <c r="C8" i="3"/>
  <c r="F8" i="3"/>
  <c r="F8" i="2"/>
  <c r="C8" i="2"/>
  <c r="C60" i="2" s="1"/>
  <c r="E60" i="2" s="1"/>
  <c r="E8" i="3" l="1"/>
  <c r="C60" i="3"/>
  <c r="E60" i="3" s="1"/>
  <c r="E10" i="4"/>
  <c r="C62" i="4"/>
  <c r="E8" i="2"/>
  <c r="C62" i="2"/>
  <c r="E62" i="2" s="1"/>
  <c r="E10" i="2"/>
  <c r="B8" i="4"/>
  <c r="C63" i="2" l="1"/>
  <c r="E63" i="2" s="1"/>
  <c r="B60" i="4"/>
  <c r="F60" i="4" s="1"/>
  <c r="F8" i="4"/>
  <c r="C63" i="4"/>
  <c r="E63" i="4" s="1"/>
  <c r="E62" i="4"/>
</calcChain>
</file>

<file path=xl/sharedStrings.xml><?xml version="1.0" encoding="utf-8"?>
<sst xmlns="http://schemas.openxmlformats.org/spreadsheetml/2006/main" count="450" uniqueCount="148">
  <si>
    <t>Enrolled</t>
  </si>
  <si>
    <t>Title I Adult</t>
  </si>
  <si>
    <t>Title I Youth</t>
  </si>
  <si>
    <t>Title I Dislocated Workers</t>
  </si>
  <si>
    <t>WIOA Funding Expensed</t>
  </si>
  <si>
    <t xml:space="preserve">% Difference from target </t>
  </si>
  <si>
    <t>% Difference from last year</t>
  </si>
  <si>
    <t>Amount</t>
  </si>
  <si>
    <t>Exited</t>
  </si>
  <si>
    <t>Med Quarterly Wage</t>
  </si>
  <si>
    <t>Match</t>
  </si>
  <si>
    <t>Employed in 2nd Quarter</t>
  </si>
  <si>
    <t>Q1</t>
  </si>
  <si>
    <t>Q2</t>
  </si>
  <si>
    <t>Q3</t>
  </si>
  <si>
    <t>Q4</t>
  </si>
  <si>
    <t>Year-to-Date</t>
  </si>
  <si>
    <t>Total</t>
  </si>
  <si>
    <t>Youth Contracts</t>
  </si>
  <si>
    <t>ADW Contracts</t>
  </si>
  <si>
    <t>OS</t>
  </si>
  <si>
    <t>WC</t>
  </si>
  <si>
    <t>Variance</t>
  </si>
  <si>
    <t>Total Source</t>
  </si>
  <si>
    <t>WIOA Funding Target</t>
  </si>
  <si>
    <t>July - September 2022 Actual</t>
  </si>
  <si>
    <t>July - September 2023 Target</t>
  </si>
  <si>
    <t>July - September 2023 Actual</t>
  </si>
  <si>
    <t>October - December 2022 Actual</t>
  </si>
  <si>
    <t>October - December Target 2023</t>
  </si>
  <si>
    <t>October - December 2023 Actual</t>
  </si>
  <si>
    <t>January - March 2023 Actual</t>
  </si>
  <si>
    <t>January - March 2024 Actual</t>
  </si>
  <si>
    <t>January - March 2024 Target</t>
  </si>
  <si>
    <t>April - June 2023 Actual</t>
  </si>
  <si>
    <t>April - June 2024 Target</t>
  </si>
  <si>
    <t>April - June 2024 Actual</t>
  </si>
  <si>
    <t>Workforce Connections</t>
  </si>
  <si>
    <t>GWDB Reporting</t>
  </si>
  <si>
    <t>All</t>
  </si>
  <si>
    <t>This Year Actual</t>
  </si>
  <si>
    <t>Current Target</t>
  </si>
  <si>
    <t>Last year Actual</t>
  </si>
  <si>
    <t>July 1 through March 31:  PY23 vs. PY22</t>
  </si>
  <si>
    <t>Q1 PY 2022</t>
  </si>
  <si>
    <t>Q2 PY 2022</t>
  </si>
  <si>
    <t>Q3 PY 2022</t>
  </si>
  <si>
    <t>Q1 - Q3 PY 22 Total</t>
  </si>
  <si>
    <t>Q1 PY 2023</t>
  </si>
  <si>
    <t>Q2 PY 2023</t>
  </si>
  <si>
    <t>Q3 PY 2023</t>
  </si>
  <si>
    <t>Q1 - Q3 PY 23 Total</t>
  </si>
  <si>
    <t>Current Target Through Q3</t>
  </si>
  <si>
    <t>Employed</t>
  </si>
  <si>
    <t>$9,000.15 (avg.)</t>
  </si>
  <si>
    <t>$8,967.54 (avg.)</t>
  </si>
  <si>
    <t>WIOA Funding Allocated</t>
  </si>
  <si>
    <t>% Expensed</t>
  </si>
  <si>
    <t>Linked Reports</t>
  </si>
  <si>
    <t xml:space="preserve"> </t>
  </si>
  <si>
    <t>Total Promised New Enrollments in PY 2023 = 270</t>
  </si>
  <si>
    <t>$4,881.17 (avg.)</t>
  </si>
  <si>
    <t>$6,566.88 (avg.)</t>
  </si>
  <si>
    <t>Total Promised New Enrollments in PY 2023 = 186</t>
  </si>
  <si>
    <t>Q1 - Q2 PY 22 Total</t>
  </si>
  <si>
    <t>$11,234.28 (avg.)</t>
  </si>
  <si>
    <t>$11,445.44 (avg.)</t>
  </si>
  <si>
    <t>Total Promised New Enrollments in PY 2023 = 108</t>
  </si>
  <si>
    <t>Original</t>
  </si>
  <si>
    <t>Title II</t>
  </si>
  <si>
    <t>Last year</t>
  </si>
  <si>
    <t xml:space="preserve">Current target </t>
  </si>
  <si>
    <t>This year actual</t>
  </si>
  <si>
    <t>Completed</t>
  </si>
  <si>
    <t>Average Wages</t>
  </si>
  <si>
    <t>2023-2024 program year</t>
  </si>
  <si>
    <t>Revised</t>
  </si>
  <si>
    <t>N/A</t>
  </si>
  <si>
    <t>Exited Based on 
Denominator for
Employed 2nd
Quarter after Exit</t>
  </si>
  <si>
    <t>Employed 2nd
Quarter after Exit</t>
  </si>
  <si>
    <t>Median Wages</t>
  </si>
  <si>
    <t>Measurable Skill
Gains</t>
  </si>
  <si>
    <t>Attained Credential</t>
  </si>
  <si>
    <t>3rd quarter of 2023-2024 program year</t>
  </si>
  <si>
    <t>Title III</t>
  </si>
  <si>
    <r>
      <rPr>
        <b/>
        <sz val="11"/>
        <color theme="1"/>
        <rFont val="Calibri"/>
        <family val="2"/>
        <scheme val="minor"/>
      </rPr>
      <t>Last year</t>
    </r>
    <r>
      <rPr>
        <sz val="11"/>
        <color theme="1"/>
        <rFont val="Calibri"/>
        <family val="2"/>
        <scheme val="minor"/>
      </rPr>
      <t xml:space="preserve"> (7/1/22-6/30/23)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</si>
  <si>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Q1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</si>
  <si>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Q2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</si>
  <si>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Q3</t>
    </r>
    <r>
      <rPr>
        <sz val="11"/>
        <color theme="1"/>
        <rFont val="Calibri"/>
        <family val="2"/>
        <scheme val="minor"/>
      </rPr>
      <t/>
    </r>
  </si>
  <si>
    <r>
      <t xml:space="preserve">Enrolled </t>
    </r>
    <r>
      <rPr>
        <sz val="11"/>
        <color theme="1"/>
        <rFont val="Calibri"/>
        <family val="2"/>
        <scheme val="minor"/>
      </rPr>
      <t>(participants)(Cohort Period:10/1/2023-12/31/2023)</t>
    </r>
  </si>
  <si>
    <r>
      <t>N/A</t>
    </r>
    <r>
      <rPr>
        <sz val="11"/>
        <color rgb="FFFF0000"/>
        <rFont val="Calibri"/>
        <family val="2"/>
        <scheme val="minor"/>
      </rPr>
      <t>*</t>
    </r>
  </si>
  <si>
    <t>TBD</t>
  </si>
  <si>
    <r>
      <t xml:space="preserve">Completed </t>
    </r>
    <r>
      <rPr>
        <sz val="11"/>
        <color theme="1"/>
        <rFont val="Calibri"/>
        <family val="2"/>
        <scheme val="minor"/>
      </rPr>
      <t>(Exiters)(Cohort Period:10/1/2022-12/31/2022)</t>
    </r>
  </si>
  <si>
    <r>
      <t xml:space="preserve">Employed </t>
    </r>
    <r>
      <rPr>
        <sz val="11"/>
        <color theme="1"/>
        <rFont val="Calibri"/>
        <family val="2"/>
        <scheme val="minor"/>
      </rPr>
      <t>(2nd qtr after exit)(Cohort Period:10/1/2022-12/31/2022)</t>
    </r>
  </si>
  <si>
    <r>
      <t>Average Wages</t>
    </r>
    <r>
      <rPr>
        <sz val="11"/>
        <color theme="1"/>
        <rFont val="Calibri"/>
        <family val="2"/>
        <scheme val="minor"/>
      </rPr>
      <t xml:space="preserve"> (median earnings 2nd qtr)(Cohort Period:10/1/2022-12/31/2022)</t>
    </r>
  </si>
  <si>
    <r>
      <t xml:space="preserve">WIOA Funding Allocated </t>
    </r>
    <r>
      <rPr>
        <sz val="11"/>
        <color rgb="FFFF0000"/>
        <rFont val="Calibri"/>
        <family val="2"/>
        <scheme val="minor"/>
      </rPr>
      <t>**</t>
    </r>
  </si>
  <si>
    <t>WIOA Funding Expensed QTR 1</t>
  </si>
  <si>
    <t>WIOA Funding Expensed QTR 2</t>
  </si>
  <si>
    <t>WIOA Funding Expensed QTR 3</t>
  </si>
  <si>
    <t>WIOA Funding Expensed QTR 4</t>
  </si>
  <si>
    <r>
      <t>*</t>
    </r>
    <r>
      <rPr>
        <i/>
        <sz val="11"/>
        <color rgb="FFFF0000"/>
        <rFont val="Calibri"/>
        <family val="2"/>
        <scheme val="minor"/>
      </rPr>
      <t xml:space="preserve">Levels of Title III Wagner-Peyser performance are negotiated with the Department of Labor (DOL) to establish program year performance level goals. These goals for Title III Wagner-Peyser do not include "enrolled" or "exited" number of participants. </t>
    </r>
    <r>
      <rPr>
        <sz val="11"/>
        <color rgb="FFFF0000"/>
        <rFont val="Calibri"/>
        <family val="2"/>
        <scheme val="minor"/>
      </rPr>
      <t>DOL negotiated levels inlcude Employment Rate 2nd quarter after exit, Employment Rate 4th quarter after exit, and Median Earnings 2nd quarter after exit.</t>
    </r>
  </si>
  <si>
    <r>
      <t>**</t>
    </r>
    <r>
      <rPr>
        <i/>
        <sz val="11"/>
        <color rgb="FFFF0000"/>
        <rFont val="Calibri"/>
        <family val="2"/>
        <scheme val="minor"/>
      </rPr>
      <t>Per Training and Employment Guidance Letter (TEGL) 15-22 issued by the Department of Labor (DOL) on April 21, 2023</t>
    </r>
  </si>
  <si>
    <t>Title IV</t>
  </si>
  <si>
    <t>Last year PY 2022</t>
  </si>
  <si>
    <t>This year actual 
PY 2023 Q3</t>
  </si>
  <si>
    <t>Enrolled (Participants Served)</t>
  </si>
  <si>
    <t>Completed (Participants Exited)</t>
  </si>
  <si>
    <t>Employed (2nd Quarter After Exit)</t>
  </si>
  <si>
    <t>Average Wages (Median Quarterly Earnings)</t>
  </si>
  <si>
    <t>Not Yet Available</t>
  </si>
  <si>
    <t>WIOA Funding Allocated (SFY24 Budget)</t>
  </si>
  <si>
    <t>WIOA Funding Expensed (SFY24 Q3 Expended)</t>
  </si>
  <si>
    <t>% Expended</t>
  </si>
  <si>
    <t xml:space="preserve">Vocational Training Outcomes </t>
  </si>
  <si>
    <t>Column1</t>
  </si>
  <si>
    <t>July '22-June '23 Last Year</t>
  </si>
  <si>
    <t>July '23-Mar '24 This Year</t>
  </si>
  <si>
    <t>% Difference from Last Year</t>
  </si>
  <si>
    <t>Average Wage</t>
  </si>
  <si>
    <t>DWSS Tuition Funding</t>
  </si>
  <si>
    <t>DWSS Support Funding</t>
  </si>
  <si>
    <t>WIOA Funding</t>
  </si>
  <si>
    <t>Total Amount Funded</t>
  </si>
  <si>
    <t xml:space="preserve">FY 2023 to March 2024 </t>
  </si>
  <si>
    <t>DWSS Job Fairs for State of Nevada Employment</t>
  </si>
  <si>
    <t>WDU Recruits Employed in State Service</t>
  </si>
  <si>
    <t>In-Person Job Fair Fall 2022</t>
  </si>
  <si>
    <t>HS Recruitment 2022 Grads</t>
  </si>
  <si>
    <t>In-Person Job Fair 1/2023</t>
  </si>
  <si>
    <t>In-Person Job Fair 10/2023</t>
  </si>
  <si>
    <t>HS Recruitment 2023 Grads</t>
  </si>
  <si>
    <t>Virtual Job Fair 1/2024</t>
  </si>
  <si>
    <t>112*</t>
  </si>
  <si>
    <t>Average Wages from Vocational Training</t>
  </si>
  <si>
    <t>Emp gained in the Field Trained</t>
  </si>
  <si>
    <t>Emp gained NOT in the Field Trained</t>
  </si>
  <si>
    <t>Overall Average</t>
  </si>
  <si>
    <t>High School Recruitments</t>
  </si>
  <si>
    <t>School Year</t>
  </si>
  <si>
    <t>Participating Schools</t>
  </si>
  <si>
    <t>Total # of Events</t>
  </si>
  <si>
    <t>Interested Students</t>
  </si>
  <si>
    <t>Interviewed</t>
  </si>
  <si>
    <t>EMP</t>
  </si>
  <si>
    <t>Still EMP</t>
  </si>
  <si>
    <t>2022 Grads</t>
  </si>
  <si>
    <t>2023 Grads</t>
  </si>
  <si>
    <t>2024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</si>
</sst>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999999"/>
      </left>
      <right/>
      <top style="medium">
        <color rgb="FF999999"/>
      </top>
      <bottom style="thick">
        <color rgb="FF666666"/>
      </bottom>
      <diagonal/>
    </border>
    <border>
      <left/>
      <right/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/>
      <top style="thick">
        <color rgb="FF666666"/>
      </top>
      <bottom style="medium">
        <color rgb="FF999999"/>
      </bottom>
      <diagonal/>
    </border>
    <border>
      <left/>
      <right/>
      <top style="thick">
        <color rgb="FF666666"/>
      </top>
      <bottom style="medium">
        <color rgb="FF999999"/>
      </bottom>
      <diagonal/>
    </border>
    <border>
      <left/>
      <right style="medium">
        <color rgb="FF999999"/>
      </right>
      <top style="thick">
        <color rgb="FF666666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" fontId="0" fillId="0" borderId="0" xfId="0" applyNumberFormat="1"/>
    <xf numFmtId="165" fontId="0" fillId="0" borderId="0" xfId="3" applyNumberFormat="1" applyFont="1" applyFill="1"/>
    <xf numFmtId="164" fontId="0" fillId="0" borderId="1" xfId="1" applyNumberFormat="1" applyFont="1" applyFill="1" applyBorder="1"/>
    <xf numFmtId="9" fontId="0" fillId="0" borderId="0" xfId="2" applyFont="1" applyFill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 applyBorder="1"/>
    <xf numFmtId="9" fontId="0" fillId="0" borderId="15" xfId="2" applyFont="1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165" fontId="0" fillId="0" borderId="12" xfId="3" applyNumberFormat="1" applyFont="1" applyBorder="1"/>
    <xf numFmtId="165" fontId="0" fillId="0" borderId="13" xfId="3" applyNumberFormat="1" applyFont="1" applyBorder="1"/>
    <xf numFmtId="165" fontId="0" fillId="0" borderId="0" xfId="3" applyNumberFormat="1" applyFont="1" applyBorder="1"/>
    <xf numFmtId="164" fontId="0" fillId="0" borderId="8" xfId="0" applyNumberFormat="1" applyBorder="1"/>
    <xf numFmtId="164" fontId="0" fillId="0" borderId="8" xfId="1" applyNumberFormat="1" applyFont="1" applyBorder="1"/>
    <xf numFmtId="9" fontId="0" fillId="0" borderId="8" xfId="2" applyFont="1" applyBorder="1"/>
    <xf numFmtId="165" fontId="0" fillId="0" borderId="12" xfId="3" applyNumberFormat="1" applyFont="1" applyFill="1" applyBorder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64" fontId="0" fillId="0" borderId="8" xfId="1" applyNumberFormat="1" applyFont="1" applyFill="1" applyBorder="1"/>
    <xf numFmtId="9" fontId="0" fillId="0" borderId="8" xfId="2" applyFont="1" applyFill="1" applyBorder="1"/>
    <xf numFmtId="0" fontId="1" fillId="0" borderId="20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2" borderId="8" xfId="1" applyNumberFormat="1" applyFont="1" applyFill="1" applyBorder="1"/>
    <xf numFmtId="164" fontId="0" fillId="2" borderId="8" xfId="0" applyNumberFormat="1" applyFill="1" applyBorder="1"/>
    <xf numFmtId="0" fontId="0" fillId="2" borderId="12" xfId="0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0" fontId="10" fillId="7" borderId="21" xfId="4" applyNumberFormat="1" applyFont="1" applyFill="1" applyBorder="1" applyAlignment="1">
      <alignment horizontal="center"/>
    </xf>
    <xf numFmtId="9" fontId="10" fillId="7" borderId="21" xfId="6" applyNumberFormat="1" applyFont="1" applyFill="1" applyBorder="1" applyAlignment="1">
      <alignment horizontal="center"/>
    </xf>
    <xf numFmtId="9" fontId="11" fillId="7" borderId="21" xfId="6" applyNumberFormat="1" applyFont="1" applyFill="1" applyBorder="1" applyAlignment="1">
      <alignment horizontal="center"/>
    </xf>
    <xf numFmtId="10" fontId="12" fillId="7" borderId="21" xfId="5" applyNumberFormat="1" applyFont="1" applyFill="1" applyBorder="1" applyAlignment="1">
      <alignment horizontal="center"/>
    </xf>
    <xf numFmtId="166" fontId="0" fillId="7" borderId="21" xfId="0" applyNumberFormat="1" applyFill="1" applyBorder="1" applyAlignment="1">
      <alignment horizontal="center"/>
    </xf>
    <xf numFmtId="166" fontId="1" fillId="7" borderId="21" xfId="0" applyNumberFormat="1" applyFont="1" applyFill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0" fontId="11" fillId="7" borderId="21" xfId="4" applyNumberFormat="1" applyFont="1" applyFill="1" applyBorder="1" applyAlignment="1">
      <alignment horizontal="center"/>
    </xf>
    <xf numFmtId="0" fontId="0" fillId="0" borderId="21" xfId="0" applyBorder="1"/>
    <xf numFmtId="0" fontId="1" fillId="0" borderId="21" xfId="0" applyFont="1" applyBorder="1"/>
    <xf numFmtId="0" fontId="1" fillId="0" borderId="22" xfId="0" applyFont="1" applyBorder="1" applyAlignment="1">
      <alignment horizontal="center" wrapText="1"/>
    </xf>
    <xf numFmtId="0" fontId="0" fillId="0" borderId="21" xfId="0" applyBorder="1" applyAlignment="1">
      <alignment wrapText="1"/>
    </xf>
    <xf numFmtId="4" fontId="0" fillId="0" borderId="21" xfId="0" applyNumberFormat="1" applyBorder="1"/>
    <xf numFmtId="10" fontId="0" fillId="0" borderId="21" xfId="0" applyNumberFormat="1" applyBorder="1"/>
    <xf numFmtId="0" fontId="9" fillId="0" borderId="0" xfId="7" applyFill="1"/>
    <xf numFmtId="0" fontId="9" fillId="0" borderId="0" xfId="7"/>
    <xf numFmtId="0" fontId="9" fillId="0" borderId="0" xfId="7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0" fontId="10" fillId="7" borderId="0" xfId="4" applyNumberFormat="1" applyFont="1" applyFill="1" applyBorder="1" applyAlignment="1">
      <alignment horizontal="center"/>
    </xf>
    <xf numFmtId="9" fontId="10" fillId="7" borderId="0" xfId="6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10" fontId="10" fillId="7" borderId="0" xfId="5" applyNumberFormat="1" applyFont="1" applyFill="1" applyBorder="1" applyAlignment="1">
      <alignment horizontal="center"/>
    </xf>
    <xf numFmtId="10" fontId="6" fillId="7" borderId="0" xfId="5" applyNumberFormat="1" applyFill="1" applyBorder="1" applyAlignment="1">
      <alignment horizontal="center"/>
    </xf>
    <xf numFmtId="166" fontId="0" fillId="7" borderId="0" xfId="0" applyNumberForma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0" fontId="12" fillId="7" borderId="21" xfId="4" applyNumberFormat="1" applyFont="1" applyFill="1" applyBorder="1" applyAlignment="1">
      <alignment horizontal="center"/>
    </xf>
    <xf numFmtId="10" fontId="10" fillId="7" borderId="21" xfId="5" applyNumberFormat="1" applyFont="1" applyFill="1" applyBorder="1" applyAlignment="1">
      <alignment horizontal="center"/>
    </xf>
    <xf numFmtId="10" fontId="8" fillId="7" borderId="0" xfId="4" applyNumberFormat="1" applyFont="1" applyFill="1" applyBorder="1" applyAlignment="1">
      <alignment horizontal="center"/>
    </xf>
    <xf numFmtId="0" fontId="0" fillId="7" borderId="0" xfId="0" applyFill="1"/>
    <xf numFmtId="166" fontId="0" fillId="7" borderId="0" xfId="0" applyNumberFormat="1" applyFill="1"/>
    <xf numFmtId="10" fontId="11" fillId="7" borderId="21" xfId="5" applyNumberFormat="1" applyFont="1" applyFill="1" applyBorder="1" applyAlignment="1">
      <alignment horizontal="center"/>
    </xf>
    <xf numFmtId="10" fontId="5" fillId="7" borderId="0" xfId="4" applyNumberFormat="1" applyFill="1" applyBorder="1"/>
    <xf numFmtId="9" fontId="7" fillId="7" borderId="0" xfId="6" applyNumberFormat="1" applyFill="1" applyBorder="1"/>
    <xf numFmtId="9" fontId="7" fillId="7" borderId="0" xfId="6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10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2" borderId="27" xfId="0" applyNumberFormat="1" applyFill="1" applyBorder="1" applyAlignment="1">
      <alignment horizontal="center" vertical="center"/>
    </xf>
    <xf numFmtId="167" fontId="0" fillId="8" borderId="27" xfId="0" applyNumberFormat="1" applyFill="1" applyBorder="1" applyAlignment="1">
      <alignment horizontal="center" vertical="center"/>
    </xf>
    <xf numFmtId="167" fontId="0" fillId="8" borderId="28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168" fontId="0" fillId="0" borderId="30" xfId="0" applyNumberFormat="1" applyBorder="1" applyAlignment="1">
      <alignment horizontal="center" vertical="center"/>
    </xf>
    <xf numFmtId="168" fontId="0" fillId="2" borderId="30" xfId="0" applyNumberFormat="1" applyFill="1" applyBorder="1" applyAlignment="1">
      <alignment horizontal="center" vertical="center"/>
    </xf>
    <xf numFmtId="167" fontId="0" fillId="8" borderId="30" xfId="0" applyNumberFormat="1" applyFill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44" fontId="0" fillId="0" borderId="1" xfId="1" applyFont="1" applyBorder="1"/>
    <xf numFmtId="44" fontId="0" fillId="0" borderId="0" xfId="1" applyFont="1"/>
    <xf numFmtId="44" fontId="0" fillId="0" borderId="0" xfId="1" applyFont="1" applyFill="1"/>
    <xf numFmtId="44" fontId="0" fillId="2" borderId="0" xfId="1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68" fontId="0" fillId="0" borderId="0" xfId="1" applyNumberFormat="1" applyFont="1"/>
    <xf numFmtId="168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right" wrapText="1"/>
    </xf>
    <xf numFmtId="3" fontId="14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center" readingOrder="1"/>
    </xf>
    <xf numFmtId="0" fontId="18" fillId="9" borderId="32" xfId="0" applyFont="1" applyFill="1" applyBorder="1" applyAlignment="1">
      <alignment horizontal="left" wrapText="1" readingOrder="1"/>
    </xf>
    <xf numFmtId="0" fontId="19" fillId="9" borderId="33" xfId="0" applyFont="1" applyFill="1" applyBorder="1" applyAlignment="1">
      <alignment horizontal="left" wrapText="1" readingOrder="1"/>
    </xf>
    <xf numFmtId="0" fontId="19" fillId="9" borderId="34" xfId="0" applyFont="1" applyFill="1" applyBorder="1" applyAlignment="1">
      <alignment horizontal="left" wrapText="1" readingOrder="1"/>
    </xf>
    <xf numFmtId="0" fontId="20" fillId="0" borderId="32" xfId="0" applyFont="1" applyBorder="1" applyAlignment="1">
      <alignment horizontal="left" wrapText="1" readingOrder="1"/>
    </xf>
    <xf numFmtId="0" fontId="20" fillId="0" borderId="33" xfId="0" applyFont="1" applyBorder="1" applyAlignment="1">
      <alignment horizontal="right" wrapText="1" readingOrder="1"/>
    </xf>
    <xf numFmtId="9" fontId="20" fillId="0" borderId="34" xfId="0" applyNumberFormat="1" applyFont="1" applyBorder="1" applyAlignment="1">
      <alignment horizontal="right" wrapText="1" readingOrder="1"/>
    </xf>
    <xf numFmtId="8" fontId="20" fillId="0" borderId="33" xfId="0" applyNumberFormat="1" applyFont="1" applyBorder="1" applyAlignment="1">
      <alignment horizontal="right" wrapText="1" readingOrder="1"/>
    </xf>
    <xf numFmtId="0" fontId="21" fillId="9" borderId="35" xfId="0" applyFont="1" applyFill="1" applyBorder="1" applyAlignment="1">
      <alignment horizontal="left" vertical="center" wrapText="1" readingOrder="1"/>
    </xf>
    <xf numFmtId="0" fontId="21" fillId="9" borderId="36" xfId="0" applyFont="1" applyFill="1" applyBorder="1" applyAlignment="1">
      <alignment horizontal="left" vertical="center" wrapText="1" readingOrder="1"/>
    </xf>
    <xf numFmtId="0" fontId="22" fillId="0" borderId="35" xfId="0" applyFont="1" applyBorder="1" applyAlignment="1">
      <alignment horizontal="left" vertical="center" wrapText="1" readingOrder="1"/>
    </xf>
    <xf numFmtId="0" fontId="22" fillId="0" borderId="36" xfId="0" applyFont="1" applyBorder="1" applyAlignment="1">
      <alignment horizontal="left" vertical="center" wrapText="1" readingOrder="1"/>
    </xf>
    <xf numFmtId="0" fontId="23" fillId="0" borderId="35" xfId="0" applyFont="1" applyBorder="1" applyAlignment="1">
      <alignment horizontal="left" vertical="center" wrapText="1" readingOrder="1"/>
    </xf>
    <xf numFmtId="0" fontId="23" fillId="0" borderId="36" xfId="0" applyFont="1" applyBorder="1" applyAlignment="1">
      <alignment horizontal="left" vertical="center" wrapText="1" readingOrder="1"/>
    </xf>
    <xf numFmtId="0" fontId="24" fillId="9" borderId="37" xfId="0" applyFont="1" applyFill="1" applyBorder="1" applyAlignment="1">
      <alignment horizontal="center" vertical="center" wrapText="1" readingOrder="1"/>
    </xf>
    <xf numFmtId="0" fontId="21" fillId="9" borderId="38" xfId="0" applyFont="1" applyFill="1" applyBorder="1" applyAlignment="1">
      <alignment horizontal="center" vertical="center" wrapText="1" readingOrder="1"/>
    </xf>
    <xf numFmtId="0" fontId="21" fillId="9" borderId="39" xfId="0" applyFont="1" applyFill="1" applyBorder="1" applyAlignment="1">
      <alignment horizontal="center" vertical="center" wrapText="1" readingOrder="1"/>
    </xf>
    <xf numFmtId="0" fontId="22" fillId="0" borderId="40" xfId="0" applyFont="1" applyBorder="1" applyAlignment="1">
      <alignment horizontal="center" vertical="center" wrapText="1" readingOrder="1"/>
    </xf>
    <xf numFmtId="8" fontId="22" fillId="0" borderId="41" xfId="0" applyNumberFormat="1" applyFont="1" applyBorder="1" applyAlignment="1">
      <alignment horizontal="center" vertical="center" wrapText="1" readingOrder="1"/>
    </xf>
    <xf numFmtId="8" fontId="22" fillId="0" borderId="42" xfId="0" applyNumberFormat="1" applyFont="1" applyBorder="1" applyAlignment="1">
      <alignment horizontal="center" vertical="center" wrapText="1" readingOrder="1"/>
    </xf>
    <xf numFmtId="0" fontId="22" fillId="0" borderId="43" xfId="0" applyFont="1" applyBorder="1" applyAlignment="1">
      <alignment horizontal="center" vertical="center" wrapText="1" readingOrder="1"/>
    </xf>
    <xf numFmtId="8" fontId="22" fillId="0" borderId="44" xfId="0" applyNumberFormat="1" applyFont="1" applyBorder="1" applyAlignment="1">
      <alignment horizontal="center" vertical="center" wrapText="1" readingOrder="1"/>
    </xf>
    <xf numFmtId="8" fontId="22" fillId="0" borderId="45" xfId="0" applyNumberFormat="1" applyFont="1" applyBorder="1" applyAlignment="1">
      <alignment horizontal="center" vertical="center" wrapText="1" readingOrder="1"/>
    </xf>
    <xf numFmtId="0" fontId="23" fillId="0" borderId="43" xfId="0" applyFont="1" applyBorder="1" applyAlignment="1">
      <alignment horizontal="center" vertical="center" wrapText="1" readingOrder="1"/>
    </xf>
    <xf numFmtId="8" fontId="23" fillId="0" borderId="44" xfId="0" applyNumberFormat="1" applyFont="1" applyBorder="1" applyAlignment="1">
      <alignment horizontal="center" vertical="center" wrapText="1" readingOrder="1"/>
    </xf>
    <xf numFmtId="8" fontId="23" fillId="0" borderId="45" xfId="0" applyNumberFormat="1" applyFont="1" applyBorder="1" applyAlignment="1">
      <alignment horizontal="center" vertical="center" wrapText="1" readingOrder="1"/>
    </xf>
    <xf numFmtId="0" fontId="21" fillId="9" borderId="46" xfId="0" applyFont="1" applyFill="1" applyBorder="1" applyAlignment="1">
      <alignment horizontal="center" vertical="center" wrapText="1" readingOrder="1"/>
    </xf>
    <xf numFmtId="0" fontId="21" fillId="9" borderId="36" xfId="0" applyFont="1" applyFill="1" applyBorder="1" applyAlignment="1">
      <alignment horizontal="center" vertical="center" wrapText="1" readingOrder="1"/>
    </xf>
    <xf numFmtId="0" fontId="22" fillId="0" borderId="46" xfId="0" applyFont="1" applyBorder="1" applyAlignment="1">
      <alignment horizontal="center" vertical="center" wrapText="1" readingOrder="1"/>
    </xf>
    <xf numFmtId="0" fontId="17" fillId="0" borderId="46" xfId="0" applyFont="1" applyBorder="1" applyAlignment="1">
      <alignment wrapText="1"/>
    </xf>
    <xf numFmtId="0" fontId="22" fillId="0" borderId="36" xfId="0" applyFont="1" applyBorder="1" applyAlignment="1">
      <alignment horizontal="center" vertical="center" wrapText="1" readingOrder="1"/>
    </xf>
    <xf numFmtId="0" fontId="17" fillId="0" borderId="36" xfId="0" applyFont="1" applyBorder="1" applyAlignment="1">
      <alignment wrapText="1"/>
    </xf>
    <xf numFmtId="0" fontId="23" fillId="0" borderId="46" xfId="0" applyFont="1" applyBorder="1" applyAlignment="1">
      <alignment horizontal="center" vertical="center" wrapText="1" readingOrder="1"/>
    </xf>
    <xf numFmtId="0" fontId="23" fillId="0" borderId="36" xfId="0" applyFont="1" applyBorder="1" applyAlignment="1">
      <alignment horizontal="center" vertical="center" wrapText="1" readingOrder="1"/>
    </xf>
  </cellXfs>
  <cellStyles count="8">
    <cellStyle name="Bad" xfId="5" builtinId="27"/>
    <cellStyle name="Comma" xfId="3" builtinId="3"/>
    <cellStyle name="Currency" xfId="1" builtinId="4"/>
    <cellStyle name="Good" xfId="4" builtinId="26"/>
    <cellStyle name="Hyperlink" xfId="7" builtinId="8"/>
    <cellStyle name="Neutral" xfId="6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M77"/>
  <sheetViews>
    <sheetView tabSelected="1" workbookViewId="0">
      <selection activeCell="P39" sqref="P39"/>
    </sheetView>
  </sheetViews>
  <sheetFormatPr defaultRowHeight="15" x14ac:dyDescent="0.25"/>
  <cols>
    <col min="1" max="1" width="23.42578125" bestFit="1" customWidth="1"/>
    <col min="2" max="2" width="13.5703125" customWidth="1"/>
    <col min="3" max="4" width="12.5703125" bestFit="1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  <col min="10" max="10" width="9.140625" hidden="1" customWidth="1"/>
    <col min="11" max="11" width="11.5703125" hidden="1" customWidth="1"/>
    <col min="12" max="12" width="9.140625" hidden="1" customWidth="1"/>
  </cols>
  <sheetData>
    <row r="1" spans="1:13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3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3" s="51" customFormat="1" ht="15.75" x14ac:dyDescent="0.25">
      <c r="A3" s="52" t="s">
        <v>43</v>
      </c>
      <c r="B3" s="52"/>
      <c r="C3" s="52"/>
      <c r="D3" s="52"/>
      <c r="E3" s="52"/>
      <c r="F3" s="52"/>
    </row>
    <row r="5" spans="1:13" x14ac:dyDescent="0.25">
      <c r="A5" s="26" t="s">
        <v>12</v>
      </c>
      <c r="B5" s="27"/>
      <c r="C5" s="27"/>
      <c r="D5" s="27"/>
      <c r="E5" s="27"/>
      <c r="F5" s="28"/>
    </row>
    <row r="6" spans="1:13" ht="15.75" thickBot="1" x14ac:dyDescent="0.3">
      <c r="B6" s="56" t="s">
        <v>1</v>
      </c>
      <c r="C6" s="57"/>
      <c r="D6" s="57"/>
      <c r="E6" s="57"/>
      <c r="F6" s="58"/>
    </row>
    <row r="7" spans="1:13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3" x14ac:dyDescent="0.25">
      <c r="A8" s="3" t="s">
        <v>0</v>
      </c>
      <c r="B8" s="39">
        <v>720</v>
      </c>
      <c r="C8" s="40">
        <f>I8/12*H8</f>
        <v>240.75</v>
      </c>
      <c r="D8" s="40">
        <v>423</v>
      </c>
      <c r="E8" s="32">
        <f>D8/C8-1</f>
        <v>0.7570093457943925</v>
      </c>
      <c r="F8" s="33">
        <f>D8/B8-1</f>
        <v>-0.41249999999999998</v>
      </c>
      <c r="H8">
        <v>963</v>
      </c>
      <c r="I8">
        <v>3</v>
      </c>
    </row>
    <row r="9" spans="1:13" x14ac:dyDescent="0.25">
      <c r="A9" s="3" t="s">
        <v>8</v>
      </c>
      <c r="B9" s="24">
        <v>457</v>
      </c>
      <c r="C9" s="41">
        <f>D9</f>
        <v>606</v>
      </c>
      <c r="D9" s="41">
        <v>606</v>
      </c>
      <c r="E9" s="34">
        <f t="shared" ref="E9:E11" si="0">D9/C9-1</f>
        <v>0</v>
      </c>
      <c r="F9" s="35">
        <f t="shared" ref="F9:F11" si="1">D9/B9-1</f>
        <v>0.32603938730853388</v>
      </c>
    </row>
    <row r="10" spans="1:13" x14ac:dyDescent="0.25">
      <c r="A10" s="3" t="s">
        <v>11</v>
      </c>
      <c r="B10" s="24">
        <v>360</v>
      </c>
      <c r="C10" s="41">
        <f>C9*H10</f>
        <v>413.29200000000003</v>
      </c>
      <c r="D10" s="41">
        <v>422</v>
      </c>
      <c r="E10" s="34">
        <f t="shared" si="0"/>
        <v>2.1069848920375778E-2</v>
      </c>
      <c r="F10" s="35">
        <f t="shared" si="1"/>
        <v>0.17222222222222228</v>
      </c>
      <c r="H10" s="5">
        <v>0.68200000000000005</v>
      </c>
    </row>
    <row r="11" spans="1:13" x14ac:dyDescent="0.25">
      <c r="A11" s="3" t="s">
        <v>9</v>
      </c>
      <c r="B11" s="10">
        <v>6680</v>
      </c>
      <c r="C11" s="30">
        <f>H11</f>
        <v>5722</v>
      </c>
      <c r="D11" s="30">
        <v>8164</v>
      </c>
      <c r="E11" s="34">
        <f t="shared" si="0"/>
        <v>0.42677385529535128</v>
      </c>
      <c r="F11" s="35">
        <f t="shared" si="1"/>
        <v>0.22215568862275448</v>
      </c>
      <c r="H11" s="6">
        <v>5722</v>
      </c>
    </row>
    <row r="12" spans="1:13" x14ac:dyDescent="0.25">
      <c r="B12" s="1"/>
      <c r="F12" s="36"/>
    </row>
    <row r="13" spans="1:13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13" x14ac:dyDescent="0.25">
      <c r="A14" s="3" t="s">
        <v>7</v>
      </c>
      <c r="B14" s="37"/>
      <c r="C14" s="42">
        <f>D8/('Title I DW (WC)'!D8+'Title I Adult (WC)'!D8)*H14</f>
        <v>3492693.362239819</v>
      </c>
      <c r="D14" s="43">
        <v>2412819.69</v>
      </c>
      <c r="E14" s="44">
        <f>D14/C14-1</f>
        <v>-0.30918078406611393</v>
      </c>
      <c r="F14" s="38"/>
      <c r="H14" s="6">
        <f>14598302.28/4</f>
        <v>3649575.57</v>
      </c>
      <c r="I14" s="6" t="s">
        <v>39</v>
      </c>
      <c r="L14" s="12">
        <f>H14-C14-'Title I DW (WC)'!C14</f>
        <v>0</v>
      </c>
      <c r="M14" s="12"/>
    </row>
    <row r="15" spans="1:13" hidden="1" x14ac:dyDescent="0.25"/>
    <row r="16" spans="1:13" hidden="1" x14ac:dyDescent="0.25">
      <c r="H16" s="14">
        <f>H14/H8*4</f>
        <v>15159.192398753894</v>
      </c>
    </row>
    <row r="18" spans="1:13" x14ac:dyDescent="0.25">
      <c r="A18" s="26" t="s">
        <v>13</v>
      </c>
      <c r="B18" s="27"/>
      <c r="C18" s="27"/>
      <c r="D18" s="27"/>
      <c r="E18" s="27"/>
      <c r="F18" s="28"/>
    </row>
    <row r="19" spans="1:13" ht="15.75" thickBot="1" x14ac:dyDescent="0.3">
      <c r="B19" s="56" t="s">
        <v>1</v>
      </c>
      <c r="C19" s="57"/>
      <c r="D19" s="57"/>
      <c r="E19" s="57"/>
      <c r="F19" s="58"/>
    </row>
    <row r="20" spans="1:13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3" x14ac:dyDescent="0.25">
      <c r="A21" s="3" t="s">
        <v>0</v>
      </c>
      <c r="B21" s="45">
        <f>1153-720</f>
        <v>433</v>
      </c>
      <c r="C21" s="46">
        <f>I21/9*H21</f>
        <v>291</v>
      </c>
      <c r="D21" s="46">
        <f>812-423</f>
        <v>389</v>
      </c>
      <c r="E21" s="32">
        <f>D21/C21-1</f>
        <v>0.33676975945017174</v>
      </c>
      <c r="F21" s="33">
        <f>D21/B21-1</f>
        <v>-0.10161662817551964</v>
      </c>
      <c r="H21">
        <f>1114-241</f>
        <v>873</v>
      </c>
      <c r="I21">
        <v>3</v>
      </c>
    </row>
    <row r="22" spans="1:13" x14ac:dyDescent="0.25">
      <c r="A22" s="3" t="s">
        <v>8</v>
      </c>
      <c r="B22" s="25">
        <v>436</v>
      </c>
      <c r="C22" s="47">
        <f>D22</f>
        <v>652</v>
      </c>
      <c r="D22" s="41">
        <v>652</v>
      </c>
      <c r="E22" s="34">
        <f t="shared" ref="E22:E24" si="2">D22/C22-1</f>
        <v>0</v>
      </c>
      <c r="F22" s="35">
        <f t="shared" ref="F22:F24" si="3">D22/B22-1</f>
        <v>0.49541284403669716</v>
      </c>
    </row>
    <row r="23" spans="1:13" x14ac:dyDescent="0.25">
      <c r="A23" s="3" t="s">
        <v>11</v>
      </c>
      <c r="B23" s="25">
        <v>347</v>
      </c>
      <c r="C23" s="47">
        <f>C22*H23</f>
        <v>444.66400000000004</v>
      </c>
      <c r="D23" s="41">
        <v>470</v>
      </c>
      <c r="E23" s="34">
        <f t="shared" si="2"/>
        <v>5.6977852940647278E-2</v>
      </c>
      <c r="F23" s="35">
        <f t="shared" si="3"/>
        <v>0.35446685878962536</v>
      </c>
      <c r="H23" s="5">
        <v>0.68200000000000005</v>
      </c>
    </row>
    <row r="24" spans="1:13" x14ac:dyDescent="0.25">
      <c r="A24" s="3" t="s">
        <v>9</v>
      </c>
      <c r="B24" s="22">
        <v>8122</v>
      </c>
      <c r="C24" s="29">
        <f>H24</f>
        <v>5722</v>
      </c>
      <c r="D24" s="30">
        <v>7561</v>
      </c>
      <c r="E24" s="34">
        <f t="shared" si="2"/>
        <v>0.32139112198531983</v>
      </c>
      <c r="F24" s="35">
        <f t="shared" si="3"/>
        <v>-6.9071657227283922E-2</v>
      </c>
      <c r="H24" s="6">
        <v>5722</v>
      </c>
    </row>
    <row r="25" spans="1:13" x14ac:dyDescent="0.25">
      <c r="B25" s="1"/>
      <c r="F25" s="36"/>
    </row>
    <row r="26" spans="1:13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3" x14ac:dyDescent="0.25">
      <c r="A27" s="3" t="s">
        <v>7</v>
      </c>
      <c r="B27" s="37"/>
      <c r="C27" s="42">
        <f>D21/('Title I DW (WC)'!D21+'Title I Adult (WC)'!D21)*H27</f>
        <v>4115240.6709722225</v>
      </c>
      <c r="D27" s="48">
        <v>3018526.5</v>
      </c>
      <c r="E27" s="44">
        <f>D27/C27-1</f>
        <v>-0.26650061531228131</v>
      </c>
      <c r="F27" s="38"/>
      <c r="H27" s="6">
        <f>(16598302-H14)/3</f>
        <v>4316242.1433333335</v>
      </c>
      <c r="I27" s="6" t="s">
        <v>39</v>
      </c>
      <c r="L27" s="12">
        <f>H27-C27-'Title I DW (WC)'!C27</f>
        <v>0</v>
      </c>
      <c r="M27" s="12"/>
    </row>
    <row r="29" spans="1:13" hidden="1" x14ac:dyDescent="0.25">
      <c r="H29" s="14">
        <f>H27/H21*4</f>
        <v>19776.596303932798</v>
      </c>
    </row>
    <row r="30" spans="1:13" hidden="1" x14ac:dyDescent="0.25"/>
    <row r="31" spans="1:13" x14ac:dyDescent="0.25">
      <c r="A31" s="26" t="s">
        <v>14</v>
      </c>
      <c r="B31" s="27"/>
      <c r="C31" s="27"/>
      <c r="D31" s="27"/>
      <c r="E31" s="27"/>
      <c r="F31" s="28"/>
    </row>
    <row r="32" spans="1:13" ht="15.75" thickBot="1" x14ac:dyDescent="0.3">
      <c r="B32" s="56" t="s">
        <v>1</v>
      </c>
      <c r="C32" s="57"/>
      <c r="D32" s="57"/>
      <c r="E32" s="57"/>
      <c r="F32" s="58"/>
    </row>
    <row r="33" spans="1:9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9" x14ac:dyDescent="0.25">
      <c r="A34" s="3" t="s">
        <v>0</v>
      </c>
      <c r="B34" s="1">
        <f>1596-1153</f>
        <v>443</v>
      </c>
      <c r="C34" s="46">
        <f>I34/6*H34</f>
        <v>291</v>
      </c>
      <c r="D34">
        <f>1179-812</f>
        <v>367</v>
      </c>
      <c r="E34" s="34">
        <f>D34/C34-1</f>
        <v>0.26116838487972505</v>
      </c>
      <c r="F34" s="35">
        <f>D34/B34-1</f>
        <v>-0.17155756207674944</v>
      </c>
      <c r="H34" s="15">
        <f>1114-241-291</f>
        <v>582</v>
      </c>
      <c r="I34">
        <v>3</v>
      </c>
    </row>
    <row r="35" spans="1:9" x14ac:dyDescent="0.25">
      <c r="A35" s="3" t="s">
        <v>8</v>
      </c>
      <c r="B35" s="1">
        <v>421</v>
      </c>
      <c r="C35" s="47">
        <f>D35</f>
        <v>451</v>
      </c>
      <c r="D35">
        <v>451</v>
      </c>
      <c r="E35" s="34">
        <f t="shared" ref="E35:E37" si="4">D35/C35-1</f>
        <v>0</v>
      </c>
      <c r="F35" s="35">
        <f t="shared" ref="F35:F37" si="5">D35/B35-1</f>
        <v>7.1258907363420443E-2</v>
      </c>
    </row>
    <row r="36" spans="1:9" x14ac:dyDescent="0.25">
      <c r="A36" s="3" t="s">
        <v>11</v>
      </c>
      <c r="B36" s="1">
        <v>344</v>
      </c>
      <c r="C36" s="47">
        <f>C35*H36</f>
        <v>307.58200000000005</v>
      </c>
      <c r="D36">
        <v>335</v>
      </c>
      <c r="E36" s="34">
        <f t="shared" si="4"/>
        <v>8.9140456853781913E-2</v>
      </c>
      <c r="F36" s="35">
        <f t="shared" si="5"/>
        <v>-2.6162790697674465E-2</v>
      </c>
      <c r="H36" s="5">
        <v>0.68200000000000005</v>
      </c>
    </row>
    <row r="37" spans="1:9" x14ac:dyDescent="0.25">
      <c r="A37" s="3" t="s">
        <v>9</v>
      </c>
      <c r="B37" s="22">
        <v>8009</v>
      </c>
      <c r="C37" s="29">
        <f>H37</f>
        <v>5722</v>
      </c>
      <c r="D37" s="29">
        <v>7612</v>
      </c>
      <c r="E37" s="34">
        <f t="shared" si="4"/>
        <v>0.33030408947920309</v>
      </c>
      <c r="F37" s="35">
        <f t="shared" si="5"/>
        <v>-4.9569234611062551E-2</v>
      </c>
      <c r="H37" s="6">
        <v>5722</v>
      </c>
    </row>
    <row r="38" spans="1:9" x14ac:dyDescent="0.25">
      <c r="B38" s="1"/>
      <c r="F38" s="36"/>
    </row>
    <row r="39" spans="1:9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9" x14ac:dyDescent="0.25">
      <c r="A40" s="3" t="s">
        <v>7</v>
      </c>
      <c r="B40" s="37"/>
      <c r="C40" s="42">
        <f>D34/('Title I DW (WC)'!D34+'Title I Adult (WC)'!D34)*H40</f>
        <v>3776717.3145977003</v>
      </c>
      <c r="D40" s="48">
        <f>8677622-D27-D14</f>
        <v>3246275.81</v>
      </c>
      <c r="E40" s="44">
        <f>D40/C40-1</f>
        <v>-0.14045041246466794</v>
      </c>
      <c r="F40" s="38"/>
      <c r="H40" s="6">
        <f>(15725068-H27-H14)/2</f>
        <v>3879625.1433333326</v>
      </c>
      <c r="I40" s="6" t="s">
        <v>39</v>
      </c>
    </row>
    <row r="42" spans="1:9" hidden="1" x14ac:dyDescent="0.25">
      <c r="H42" s="14">
        <f>H40/H34</f>
        <v>6666.0225830469635</v>
      </c>
    </row>
    <row r="43" spans="1:9" hidden="1" x14ac:dyDescent="0.25"/>
    <row r="44" spans="1:9" hidden="1" x14ac:dyDescent="0.25">
      <c r="A44" s="26" t="s">
        <v>15</v>
      </c>
      <c r="B44" s="27"/>
      <c r="C44" s="27"/>
      <c r="D44" s="27"/>
      <c r="E44" s="27"/>
      <c r="F44" s="28"/>
    </row>
    <row r="45" spans="1:9" ht="15.75" hidden="1" thickBot="1" x14ac:dyDescent="0.3">
      <c r="B45" s="59" t="s">
        <v>1</v>
      </c>
      <c r="C45" s="60"/>
      <c r="D45" s="60"/>
      <c r="E45" s="60"/>
      <c r="F45" s="61"/>
    </row>
    <row r="46" spans="1:9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9" hidden="1" x14ac:dyDescent="0.25">
      <c r="A47" s="3" t="s">
        <v>0</v>
      </c>
      <c r="B47" s="55"/>
      <c r="C47" s="46"/>
      <c r="D47" s="15"/>
      <c r="E47" s="4" t="e">
        <f>D47/C47-1</f>
        <v>#DIV/0!</v>
      </c>
      <c r="F47" s="33" t="e">
        <f>D47/B47-1</f>
        <v>#DIV/0!</v>
      </c>
      <c r="H47">
        <f>1114-241-291-291</f>
        <v>291</v>
      </c>
      <c r="I47">
        <v>3</v>
      </c>
    </row>
    <row r="48" spans="1:9" hidden="1" x14ac:dyDescent="0.25">
      <c r="A48" s="3" t="s">
        <v>8</v>
      </c>
      <c r="B48" s="1"/>
      <c r="E48" s="4" t="e">
        <f t="shared" ref="E48:E50" si="6">D48/C48-1</f>
        <v>#DIV/0!</v>
      </c>
      <c r="F48" s="35" t="e">
        <f t="shared" ref="F48:F50" si="7">D48/B48-1</f>
        <v>#DIV/0!</v>
      </c>
    </row>
    <row r="49" spans="1:9" hidden="1" x14ac:dyDescent="0.25">
      <c r="A49" s="3" t="s">
        <v>11</v>
      </c>
      <c r="B49" s="1"/>
      <c r="C49" s="21"/>
      <c r="E49" s="4" t="e">
        <f t="shared" si="6"/>
        <v>#DIV/0!</v>
      </c>
      <c r="F49" s="35" t="e">
        <f t="shared" si="7"/>
        <v>#DIV/0!</v>
      </c>
      <c r="H49" s="5">
        <v>0.68200000000000005</v>
      </c>
    </row>
    <row r="50" spans="1:9" hidden="1" x14ac:dyDescent="0.25">
      <c r="A50" s="3" t="s">
        <v>9</v>
      </c>
      <c r="B50" s="22"/>
      <c r="C50" s="19"/>
      <c r="D50" s="6"/>
      <c r="E50" s="4" t="e">
        <f t="shared" si="6"/>
        <v>#DIV/0!</v>
      </c>
      <c r="F50" s="35" t="e">
        <f t="shared" si="7"/>
        <v>#DIV/0!</v>
      </c>
      <c r="H50" s="6">
        <v>5722</v>
      </c>
    </row>
    <row r="51" spans="1:9" hidden="1" x14ac:dyDescent="0.25">
      <c r="B51" s="1"/>
      <c r="F51" s="36"/>
    </row>
    <row r="52" spans="1:9" ht="45" hidden="1" x14ac:dyDescent="0.25">
      <c r="B52" s="1"/>
      <c r="C52" s="11" t="s">
        <v>24</v>
      </c>
      <c r="D52" s="11" t="s">
        <v>4</v>
      </c>
      <c r="E52" s="11" t="s">
        <v>5</v>
      </c>
      <c r="F52" s="36"/>
    </row>
    <row r="53" spans="1:9" hidden="1" x14ac:dyDescent="0.25">
      <c r="A53" s="3" t="s">
        <v>7</v>
      </c>
      <c r="B53" s="37"/>
      <c r="C53" s="54"/>
      <c r="D53" s="53"/>
      <c r="E53" s="44" t="e">
        <f>D53/C53-1</f>
        <v>#DIV/0!</v>
      </c>
      <c r="F53" s="38"/>
      <c r="H53" s="6">
        <f>H40</f>
        <v>3879625.1433333326</v>
      </c>
      <c r="I53" s="6">
        <v>2557397</v>
      </c>
    </row>
    <row r="54" spans="1:9" hidden="1" x14ac:dyDescent="0.25"/>
    <row r="55" spans="1:9" hidden="1" x14ac:dyDescent="0.25">
      <c r="H55" s="14">
        <f>H53/H47</f>
        <v>13332.045166093927</v>
      </c>
    </row>
    <row r="56" spans="1:9" hidden="1" x14ac:dyDescent="0.25"/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6" t="s">
        <v>1</v>
      </c>
      <c r="C58" s="57"/>
      <c r="D58" s="57"/>
      <c r="E58" s="57"/>
      <c r="F58" s="58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1596</v>
      </c>
      <c r="C60" s="46">
        <f>C47+C34+C21+C8</f>
        <v>822.75</v>
      </c>
      <c r="D60" s="46">
        <f>D47+D34+D21+D8</f>
        <v>1179</v>
      </c>
      <c r="E60" s="32">
        <f>D60/C60-1</f>
        <v>0.43299908842297175</v>
      </c>
      <c r="F60" s="33">
        <f>D60/B60-1</f>
        <v>-0.26127819548872178</v>
      </c>
      <c r="H60">
        <v>1114</v>
      </c>
      <c r="I60">
        <v>3</v>
      </c>
    </row>
    <row r="61" spans="1:9" x14ac:dyDescent="0.25">
      <c r="A61" s="3" t="s">
        <v>8</v>
      </c>
      <c r="B61" s="25">
        <f t="shared" si="8"/>
        <v>1314</v>
      </c>
      <c r="C61" s="47">
        <f t="shared" ref="C61:D62" si="9">C48+C35+C22+C9</f>
        <v>1709</v>
      </c>
      <c r="D61" s="47">
        <f t="shared" si="9"/>
        <v>1709</v>
      </c>
      <c r="E61" s="34">
        <f t="shared" ref="E61:E63" si="10">D61/C61-1</f>
        <v>0</v>
      </c>
      <c r="F61" s="35">
        <f t="shared" ref="F61:F63" si="11">D61/B61-1</f>
        <v>0.30060882800608835</v>
      </c>
    </row>
    <row r="62" spans="1:9" x14ac:dyDescent="0.25">
      <c r="A62" s="3" t="s">
        <v>11</v>
      </c>
      <c r="B62" s="25">
        <f t="shared" si="8"/>
        <v>1051</v>
      </c>
      <c r="C62" s="47">
        <f t="shared" si="9"/>
        <v>1165.538</v>
      </c>
      <c r="D62" s="47">
        <f t="shared" si="9"/>
        <v>1227</v>
      </c>
      <c r="E62" s="34">
        <f t="shared" si="10"/>
        <v>5.2732729434818992E-2</v>
      </c>
      <c r="F62" s="35">
        <f t="shared" si="11"/>
        <v>0.16745956232159842</v>
      </c>
      <c r="H62" s="5">
        <v>0.68200000000000005</v>
      </c>
    </row>
    <row r="63" spans="1:9" x14ac:dyDescent="0.25">
      <c r="A63" s="3" t="s">
        <v>9</v>
      </c>
      <c r="B63" s="10">
        <f>SUM(B49*B50,B36*B37,B23*B24,B10*B11)/B62</f>
        <v>7591.0846812559466</v>
      </c>
      <c r="C63" s="30">
        <f>SUM(C49*C50,C36*C37,C23*C24,C10*C11)/C62</f>
        <v>5722.0000000000009</v>
      </c>
      <c r="D63" s="30">
        <f>SUM(D49*D50,D36*D37,D23*D24,D10*D11)/D62</f>
        <v>7782.3129584352082</v>
      </c>
      <c r="E63" s="34">
        <f t="shared" si="10"/>
        <v>0.36006867501489115</v>
      </c>
      <c r="F63" s="35">
        <f t="shared" si="11"/>
        <v>2.5191166375925889E-2</v>
      </c>
      <c r="H63" s="6">
        <v>5722</v>
      </c>
    </row>
    <row r="64" spans="1:9" x14ac:dyDescent="0.25">
      <c r="B64" s="1"/>
      <c r="F64" s="36"/>
    </row>
    <row r="65" spans="1:11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11" x14ac:dyDescent="0.25">
      <c r="A66" s="3" t="s">
        <v>7</v>
      </c>
      <c r="B66" s="37"/>
      <c r="C66" s="42">
        <f>C53+C40+C27+C14</f>
        <v>11384651.347809741</v>
      </c>
      <c r="D66" s="48">
        <f>D53+D40+D27+D14</f>
        <v>8677622</v>
      </c>
      <c r="E66" s="44">
        <f>D66/C66-1</f>
        <v>-0.23777885374860763</v>
      </c>
      <c r="F66" s="38"/>
      <c r="H66" s="6">
        <f>H53+H40+H27+H14</f>
        <v>15725068</v>
      </c>
      <c r="I66" s="6">
        <v>2557397</v>
      </c>
      <c r="K66" s="12">
        <f>D66+'Title I DW (WC)'!D66</f>
        <v>9177827</v>
      </c>
    </row>
    <row r="69" spans="1:11" hidden="1" x14ac:dyDescent="0.25">
      <c r="B69" t="s">
        <v>17</v>
      </c>
      <c r="D69" s="12"/>
    </row>
    <row r="70" spans="1:11" hidden="1" x14ac:dyDescent="0.25">
      <c r="B70" t="s">
        <v>18</v>
      </c>
      <c r="D70" s="12"/>
    </row>
    <row r="71" spans="1:11" hidden="1" x14ac:dyDescent="0.25">
      <c r="B71" t="s">
        <v>19</v>
      </c>
      <c r="D71" s="12"/>
    </row>
    <row r="72" spans="1:11" hidden="1" x14ac:dyDescent="0.25">
      <c r="B72" t="s">
        <v>21</v>
      </c>
      <c r="D72" s="12"/>
    </row>
    <row r="73" spans="1:11" hidden="1" x14ac:dyDescent="0.25">
      <c r="B73" t="s">
        <v>20</v>
      </c>
      <c r="D73" s="12"/>
    </row>
    <row r="74" spans="1:11" hidden="1" x14ac:dyDescent="0.25">
      <c r="B74" t="s">
        <v>23</v>
      </c>
      <c r="D74" s="12"/>
    </row>
    <row r="75" spans="1:11" hidden="1" x14ac:dyDescent="0.25">
      <c r="B75" t="s">
        <v>22</v>
      </c>
      <c r="D75" s="12"/>
    </row>
    <row r="76" spans="1:11" hidden="1" x14ac:dyDescent="0.25"/>
    <row r="77" spans="1:11" x14ac:dyDescent="0.25">
      <c r="C77" s="12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66"/>
  <sheetViews>
    <sheetView workbookViewId="0">
      <selection activeCell="F22" sqref="F22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customWidth="1"/>
    <col min="5" max="5" width="12.140625" customWidth="1"/>
    <col min="6" max="6" width="12.42578125" customWidth="1"/>
    <col min="8" max="8" width="8" hidden="1" customWidth="1"/>
    <col min="9" max="9" width="0" hidden="1" customWidth="1"/>
  </cols>
  <sheetData>
    <row r="1" spans="1:8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8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8" s="51" customFormat="1" ht="15.75" x14ac:dyDescent="0.25">
      <c r="A3" s="52" t="str">
        <f>'Title I Adult (WC)'!A3</f>
        <v>July 1 through March 31:  PY23 vs. PY22</v>
      </c>
      <c r="B3" s="52"/>
      <c r="C3" s="52"/>
      <c r="D3" s="52"/>
      <c r="E3" s="52"/>
      <c r="F3" s="52"/>
    </row>
    <row r="5" spans="1:8" x14ac:dyDescent="0.25">
      <c r="A5" s="26" t="s">
        <v>12</v>
      </c>
      <c r="B5" s="27"/>
      <c r="C5" s="27"/>
      <c r="D5" s="27"/>
      <c r="E5" s="27"/>
      <c r="F5" s="28"/>
    </row>
    <row r="6" spans="1:8" ht="15.75" thickBot="1" x14ac:dyDescent="0.3">
      <c r="B6" s="59" t="s">
        <v>3</v>
      </c>
      <c r="C6" s="60"/>
      <c r="D6" s="60"/>
      <c r="E6" s="60"/>
      <c r="F6" s="60"/>
    </row>
    <row r="7" spans="1:8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8" x14ac:dyDescent="0.25">
      <c r="A8" s="3" t="s">
        <v>0</v>
      </c>
      <c r="B8" s="39">
        <f>43+30</f>
        <v>73</v>
      </c>
      <c r="C8" s="40">
        <f>D8</f>
        <v>19</v>
      </c>
      <c r="D8" s="40">
        <v>19</v>
      </c>
      <c r="E8" s="32">
        <f>D8/C8-1</f>
        <v>0</v>
      </c>
      <c r="F8" s="33">
        <f>D8/B8-1</f>
        <v>-0.73972602739726034</v>
      </c>
      <c r="H8" t="s">
        <v>10</v>
      </c>
    </row>
    <row r="9" spans="1:8" x14ac:dyDescent="0.25">
      <c r="A9" s="3" t="s">
        <v>8</v>
      </c>
      <c r="B9" s="24">
        <v>239</v>
      </c>
      <c r="C9" s="41">
        <f>D9</f>
        <v>75</v>
      </c>
      <c r="D9" s="41">
        <v>75</v>
      </c>
      <c r="E9" s="34">
        <f t="shared" ref="E9:E11" si="0">D9/C9-1</f>
        <v>0</v>
      </c>
      <c r="F9" s="35">
        <f t="shared" ref="F9:F11" si="1">D9/B9-1</f>
        <v>-0.68619246861924688</v>
      </c>
    </row>
    <row r="10" spans="1:8" x14ac:dyDescent="0.25">
      <c r="A10" s="3" t="s">
        <v>11</v>
      </c>
      <c r="B10" s="24">
        <v>187</v>
      </c>
      <c r="C10" s="41">
        <f>H10*C9</f>
        <v>55.875</v>
      </c>
      <c r="D10" s="41">
        <v>57</v>
      </c>
      <c r="E10" s="34">
        <f t="shared" si="0"/>
        <v>2.0134228187919545E-2</v>
      </c>
      <c r="F10" s="35">
        <f t="shared" si="1"/>
        <v>-0.69518716577540107</v>
      </c>
      <c r="H10" s="5">
        <v>0.745</v>
      </c>
    </row>
    <row r="11" spans="1:8" x14ac:dyDescent="0.25">
      <c r="A11" s="3" t="s">
        <v>9</v>
      </c>
      <c r="B11" s="10">
        <v>8609</v>
      </c>
      <c r="C11" s="30">
        <f>H11</f>
        <v>8500</v>
      </c>
      <c r="D11" s="30">
        <v>10122</v>
      </c>
      <c r="E11" s="34">
        <f t="shared" si="0"/>
        <v>0.19082352941176461</v>
      </c>
      <c r="F11" s="35">
        <f t="shared" si="1"/>
        <v>0.17574631199907076</v>
      </c>
      <c r="H11" s="6">
        <v>8500</v>
      </c>
    </row>
    <row r="12" spans="1:8" x14ac:dyDescent="0.25">
      <c r="B12" s="1"/>
      <c r="F12" s="36"/>
    </row>
    <row r="13" spans="1:8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8" x14ac:dyDescent="0.25">
      <c r="A14" s="3" t="s">
        <v>7</v>
      </c>
      <c r="B14" s="37"/>
      <c r="C14" s="48">
        <f>'Title I Adult (WC)'!H14-'Title I Adult (WC)'!C14</f>
        <v>156882.20776018081</v>
      </c>
      <c r="D14" s="43">
        <v>126136.5</v>
      </c>
      <c r="E14" s="49">
        <f>D14/C14-1</f>
        <v>-0.19597957090953533</v>
      </c>
      <c r="F14" s="38"/>
    </row>
    <row r="16" spans="1:8" hidden="1" x14ac:dyDescent="0.25"/>
    <row r="17" spans="1:8" hidden="1" x14ac:dyDescent="0.25">
      <c r="C17" s="7"/>
    </row>
    <row r="18" spans="1:8" x14ac:dyDescent="0.25">
      <c r="A18" s="26" t="s">
        <v>13</v>
      </c>
      <c r="B18" s="27"/>
      <c r="C18" s="27"/>
      <c r="D18" s="27"/>
      <c r="E18" s="27"/>
      <c r="F18" s="28"/>
    </row>
    <row r="19" spans="1:8" ht="15.75" thickBot="1" x14ac:dyDescent="0.3">
      <c r="B19" s="59" t="s">
        <v>3</v>
      </c>
      <c r="C19" s="60"/>
      <c r="D19" s="60"/>
      <c r="E19" s="60"/>
      <c r="F19" s="60"/>
    </row>
    <row r="20" spans="1:8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8" x14ac:dyDescent="0.25">
      <c r="A21" s="3" t="s">
        <v>0</v>
      </c>
      <c r="B21" s="45">
        <f>70+30-(43+30)</f>
        <v>27</v>
      </c>
      <c r="C21" s="46">
        <f>D21</f>
        <v>19</v>
      </c>
      <c r="D21" s="46">
        <f>38-19</f>
        <v>19</v>
      </c>
      <c r="E21" s="32">
        <f>D21/C21-1</f>
        <v>0</v>
      </c>
      <c r="F21" s="33">
        <f>D21/B21-1</f>
        <v>-0.29629629629629628</v>
      </c>
      <c r="H21" t="s">
        <v>10</v>
      </c>
    </row>
    <row r="22" spans="1:8" x14ac:dyDescent="0.25">
      <c r="A22" s="3" t="s">
        <v>8</v>
      </c>
      <c r="B22" s="25">
        <v>139</v>
      </c>
      <c r="C22" s="47">
        <f>D22</f>
        <v>58</v>
      </c>
      <c r="D22" s="47">
        <v>58</v>
      </c>
      <c r="E22" s="34">
        <f t="shared" ref="E22:E24" si="2">D22/C22-1</f>
        <v>0</v>
      </c>
      <c r="F22" s="35">
        <f t="shared" ref="F22:F24" si="3">D22/B22-1</f>
        <v>-0.58273381294964022</v>
      </c>
    </row>
    <row r="23" spans="1:8" x14ac:dyDescent="0.25">
      <c r="A23" s="3" t="s">
        <v>11</v>
      </c>
      <c r="B23" s="25">
        <v>116</v>
      </c>
      <c r="C23" s="47">
        <f>H23*C22</f>
        <v>43.21</v>
      </c>
      <c r="D23" s="47">
        <v>40</v>
      </c>
      <c r="E23" s="34">
        <f t="shared" si="2"/>
        <v>-7.4288359176116647E-2</v>
      </c>
      <c r="F23" s="35">
        <f t="shared" si="3"/>
        <v>-0.65517241379310343</v>
      </c>
      <c r="H23" s="5">
        <v>0.745</v>
      </c>
    </row>
    <row r="24" spans="1:8" x14ac:dyDescent="0.25">
      <c r="A24" s="3" t="s">
        <v>9</v>
      </c>
      <c r="B24" s="22">
        <v>7652</v>
      </c>
      <c r="C24" s="29">
        <f>H24</f>
        <v>8500</v>
      </c>
      <c r="D24" s="29">
        <v>7333</v>
      </c>
      <c r="E24" s="34">
        <f t="shared" si="2"/>
        <v>-0.13729411764705879</v>
      </c>
      <c r="F24" s="35">
        <f t="shared" si="3"/>
        <v>-4.1688447464715117E-2</v>
      </c>
      <c r="H24" s="6">
        <v>8500</v>
      </c>
    </row>
    <row r="25" spans="1:8" x14ac:dyDescent="0.25">
      <c r="B25" s="1"/>
      <c r="F25" s="36"/>
    </row>
    <row r="26" spans="1:8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8" x14ac:dyDescent="0.25">
      <c r="A27" s="3" t="s">
        <v>7</v>
      </c>
      <c r="B27" s="37"/>
      <c r="C27" s="48">
        <f>'Title I Adult (WC)'!H27-'Title I Adult (WC)'!C27</f>
        <v>201001.47236111108</v>
      </c>
      <c r="D27" s="48">
        <v>196538.06</v>
      </c>
      <c r="E27" s="49">
        <f>D27/C27-1</f>
        <v>-2.220586898533905E-2</v>
      </c>
      <c r="F27" s="38"/>
    </row>
    <row r="29" spans="1:8" hidden="1" x14ac:dyDescent="0.25"/>
    <row r="30" spans="1:8" hidden="1" x14ac:dyDescent="0.25">
      <c r="C30" s="7"/>
    </row>
    <row r="31" spans="1:8" x14ac:dyDescent="0.25">
      <c r="A31" s="26" t="s">
        <v>14</v>
      </c>
      <c r="B31" s="27"/>
      <c r="C31" s="27"/>
      <c r="D31" s="27"/>
      <c r="E31" s="27"/>
      <c r="F31" s="28"/>
    </row>
    <row r="32" spans="1:8" ht="15.75" thickBot="1" x14ac:dyDescent="0.3">
      <c r="B32" s="59" t="s">
        <v>3</v>
      </c>
      <c r="C32" s="60"/>
      <c r="D32" s="60"/>
      <c r="E32" s="60"/>
      <c r="F32" s="60"/>
    </row>
    <row r="33" spans="1:8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8" x14ac:dyDescent="0.25">
      <c r="A34" s="3" t="s">
        <v>0</v>
      </c>
      <c r="B34" s="1">
        <f>133-100</f>
        <v>33</v>
      </c>
      <c r="C34" s="46">
        <f>D34</f>
        <v>10</v>
      </c>
      <c r="D34">
        <f>48-38</f>
        <v>10</v>
      </c>
      <c r="E34" s="4">
        <f>D34/C34-1</f>
        <v>0</v>
      </c>
      <c r="F34" s="33">
        <f>D34/B34-1</f>
        <v>-0.69696969696969702</v>
      </c>
      <c r="H34" t="s">
        <v>10</v>
      </c>
    </row>
    <row r="35" spans="1:8" x14ac:dyDescent="0.25">
      <c r="A35" s="3" t="s">
        <v>8</v>
      </c>
      <c r="B35" s="1">
        <v>49</v>
      </c>
      <c r="C35" s="47">
        <f>D35</f>
        <v>33</v>
      </c>
      <c r="D35">
        <v>33</v>
      </c>
      <c r="E35" s="4">
        <f t="shared" ref="E35:E37" si="4">D35/C35-1</f>
        <v>0</v>
      </c>
      <c r="F35" s="35">
        <f t="shared" ref="F35:F37" si="5">D35/B35-1</f>
        <v>-0.32653061224489799</v>
      </c>
    </row>
    <row r="36" spans="1:8" x14ac:dyDescent="0.25">
      <c r="A36" s="3" t="s">
        <v>11</v>
      </c>
      <c r="B36" s="1">
        <v>40</v>
      </c>
      <c r="C36" s="47">
        <f>H36*C35</f>
        <v>24.585000000000001</v>
      </c>
      <c r="D36">
        <v>24</v>
      </c>
      <c r="E36" s="4">
        <f t="shared" si="4"/>
        <v>-2.3794996949359382E-2</v>
      </c>
      <c r="F36" s="35">
        <f t="shared" si="5"/>
        <v>-0.4</v>
      </c>
      <c r="H36" s="5">
        <v>0.745</v>
      </c>
    </row>
    <row r="37" spans="1:8" x14ac:dyDescent="0.25">
      <c r="A37" s="3" t="s">
        <v>9</v>
      </c>
      <c r="B37" s="22">
        <v>8431</v>
      </c>
      <c r="C37" s="29">
        <f>H37</f>
        <v>8500</v>
      </c>
      <c r="D37" s="19">
        <v>8602</v>
      </c>
      <c r="E37" s="4">
        <f t="shared" si="4"/>
        <v>1.2000000000000011E-2</v>
      </c>
      <c r="F37" s="35">
        <f t="shared" si="5"/>
        <v>2.0282291543114672E-2</v>
      </c>
      <c r="H37" s="6">
        <v>8500</v>
      </c>
    </row>
    <row r="38" spans="1:8" x14ac:dyDescent="0.25">
      <c r="B38" s="1"/>
      <c r="F38" s="36"/>
    </row>
    <row r="39" spans="1:8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8" x14ac:dyDescent="0.25">
      <c r="A40" s="3" t="s">
        <v>7</v>
      </c>
      <c r="B40" s="37"/>
      <c r="C40" s="48">
        <f>'Title I Adult (WC)'!H40-'Title I Adult (WC)'!C40</f>
        <v>102907.82873563236</v>
      </c>
      <c r="D40" s="48">
        <f>500205-D27-D14</f>
        <v>177530.44</v>
      </c>
      <c r="E40" s="49">
        <f>D40/C40-1</f>
        <v>0.72514027534359182</v>
      </c>
      <c r="F40" s="38"/>
    </row>
    <row r="42" spans="1:8" hidden="1" x14ac:dyDescent="0.25"/>
    <row r="43" spans="1:8" hidden="1" x14ac:dyDescent="0.25">
      <c r="C43" s="7"/>
    </row>
    <row r="44" spans="1:8" hidden="1" x14ac:dyDescent="0.25">
      <c r="A44" s="26" t="s">
        <v>15</v>
      </c>
      <c r="B44" s="27"/>
      <c r="C44" s="27"/>
      <c r="D44" s="27"/>
      <c r="E44" s="27"/>
      <c r="F44" s="28"/>
    </row>
    <row r="45" spans="1:8" ht="15.75" hidden="1" thickBot="1" x14ac:dyDescent="0.3">
      <c r="B45" s="59" t="s">
        <v>3</v>
      </c>
      <c r="C45" s="60"/>
      <c r="D45" s="60"/>
      <c r="E45" s="60"/>
      <c r="F45" s="60"/>
    </row>
    <row r="46" spans="1:8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8" hidden="1" x14ac:dyDescent="0.25">
      <c r="A47" s="3" t="s">
        <v>0</v>
      </c>
      <c r="B47" s="16"/>
      <c r="D47" s="15"/>
      <c r="E47" s="4" t="e">
        <f>D47/C47-1</f>
        <v>#DIV/0!</v>
      </c>
      <c r="F47" s="4" t="e">
        <f>D47/B47-1</f>
        <v>#DIV/0!</v>
      </c>
      <c r="H47" t="s">
        <v>10</v>
      </c>
    </row>
    <row r="48" spans="1:8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8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0.745</v>
      </c>
    </row>
    <row r="50" spans="1:8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8500</v>
      </c>
    </row>
    <row r="51" spans="1:8" hidden="1" x14ac:dyDescent="0.25">
      <c r="B51" s="1"/>
    </row>
    <row r="52" spans="1:8" ht="45" hidden="1" x14ac:dyDescent="0.25">
      <c r="C52" s="11" t="s">
        <v>24</v>
      </c>
      <c r="D52" s="11" t="s">
        <v>4</v>
      </c>
      <c r="E52" s="11" t="s">
        <v>5</v>
      </c>
    </row>
    <row r="53" spans="1:8" hidden="1" x14ac:dyDescent="0.25">
      <c r="A53" s="3" t="s">
        <v>7</v>
      </c>
      <c r="C53" s="17"/>
      <c r="D53" s="18"/>
      <c r="E53" s="23" t="e">
        <f>D53/C53-1</f>
        <v>#DIV/0!</v>
      </c>
    </row>
    <row r="54" spans="1:8" hidden="1" x14ac:dyDescent="0.25"/>
    <row r="55" spans="1:8" hidden="1" x14ac:dyDescent="0.25"/>
    <row r="56" spans="1:8" hidden="1" x14ac:dyDescent="0.25">
      <c r="C56" s="7"/>
    </row>
    <row r="57" spans="1:8" x14ac:dyDescent="0.25">
      <c r="A57" s="26" t="s">
        <v>16</v>
      </c>
      <c r="B57" s="27"/>
      <c r="C57" s="27"/>
      <c r="D57" s="27"/>
      <c r="E57" s="27"/>
      <c r="F57" s="28"/>
    </row>
    <row r="58" spans="1:8" ht="15.75" thickBot="1" x14ac:dyDescent="0.3">
      <c r="B58" s="59" t="s">
        <v>3</v>
      </c>
      <c r="C58" s="60"/>
      <c r="D58" s="60"/>
      <c r="E58" s="60"/>
      <c r="F58" s="60"/>
    </row>
    <row r="59" spans="1:8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8" x14ac:dyDescent="0.25">
      <c r="A60" s="3" t="s">
        <v>0</v>
      </c>
      <c r="B60" s="45">
        <f t="shared" ref="B60:B62" si="8">B47+B34+B21+B8</f>
        <v>133</v>
      </c>
      <c r="C60" s="46">
        <f>C47+C34+C21+C8</f>
        <v>48</v>
      </c>
      <c r="D60" s="46">
        <f>D47+D34+D21+D8</f>
        <v>48</v>
      </c>
      <c r="E60" s="32">
        <f>D60/C60-1</f>
        <v>0</v>
      </c>
      <c r="F60" s="33">
        <f>D60/B60-1</f>
        <v>-0.63909774436090228</v>
      </c>
      <c r="H60" t="s">
        <v>10</v>
      </c>
    </row>
    <row r="61" spans="1:8" x14ac:dyDescent="0.25">
      <c r="A61" s="3" t="s">
        <v>8</v>
      </c>
      <c r="B61" s="25">
        <f t="shared" si="8"/>
        <v>427</v>
      </c>
      <c r="C61" s="47">
        <f t="shared" ref="C61:D62" si="9">C48+C35+C22+C9</f>
        <v>166</v>
      </c>
      <c r="D61" s="47">
        <f t="shared" si="9"/>
        <v>166</v>
      </c>
      <c r="E61" s="34">
        <f t="shared" ref="E61:E63" si="10">D61/C61-1</f>
        <v>0</v>
      </c>
      <c r="F61" s="35">
        <f t="shared" ref="F61:F63" si="11">D61/B61-1</f>
        <v>-0.61124121779859486</v>
      </c>
    </row>
    <row r="62" spans="1:8" x14ac:dyDescent="0.25">
      <c r="A62" s="3" t="s">
        <v>11</v>
      </c>
      <c r="B62" s="25">
        <f t="shared" si="8"/>
        <v>343</v>
      </c>
      <c r="C62" s="47">
        <f t="shared" si="9"/>
        <v>123.67</v>
      </c>
      <c r="D62" s="47">
        <f t="shared" si="9"/>
        <v>121</v>
      </c>
      <c r="E62" s="34">
        <f t="shared" si="10"/>
        <v>-2.158971456294978E-2</v>
      </c>
      <c r="F62" s="35">
        <f t="shared" si="11"/>
        <v>-0.64723032069970843</v>
      </c>
      <c r="H62" s="5">
        <v>0.745</v>
      </c>
    </row>
    <row r="63" spans="1:8" x14ac:dyDescent="0.25">
      <c r="A63" s="3" t="s">
        <v>9</v>
      </c>
      <c r="B63" s="10">
        <f>SUM(B49*B50,B36*B37,B23*B24,B10*B11)/B62</f>
        <v>8264.5918367346931</v>
      </c>
      <c r="C63" s="30">
        <f>SUM(C49*C50,C36*C37,C23*C24,C10*C11)/C62</f>
        <v>8500</v>
      </c>
      <c r="D63" s="30">
        <f>SUM(D49*D50,D36*D37,D23*D24,D10*D11)/D62</f>
        <v>8898.5289256198339</v>
      </c>
      <c r="E63" s="34">
        <f t="shared" si="10"/>
        <v>4.6885755955274666E-2</v>
      </c>
      <c r="F63" s="35">
        <f t="shared" si="11"/>
        <v>7.670519021488742E-2</v>
      </c>
      <c r="H63" s="6">
        <v>8500</v>
      </c>
    </row>
    <row r="64" spans="1:8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460791.50885692425</v>
      </c>
      <c r="D66" s="48">
        <f>D53+D40+D27+D14</f>
        <v>500205</v>
      </c>
      <c r="E66" s="49">
        <f>D66/C66-1</f>
        <v>8.553432601405353E-2</v>
      </c>
      <c r="F66" s="38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L66"/>
  <sheetViews>
    <sheetView workbookViewId="0">
      <selection activeCell="N59" sqref="N59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bestFit="1" customWidth="1"/>
    <col min="5" max="5" width="12.140625" customWidth="1"/>
    <col min="6" max="6" width="12.42578125" customWidth="1"/>
    <col min="8" max="8" width="8" hidden="1" customWidth="1"/>
    <col min="9" max="11" width="9.140625" hidden="1" customWidth="1"/>
    <col min="12" max="12" width="11.5703125" hidden="1" customWidth="1"/>
    <col min="13" max="14" width="0" hidden="1" customWidth="1"/>
  </cols>
  <sheetData>
    <row r="1" spans="1:11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1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1" s="51" customFormat="1" ht="15.75" x14ac:dyDescent="0.25">
      <c r="A3" s="52" t="str">
        <f>'Title I Adult (WC)'!A3</f>
        <v>July 1 through March 31:  PY23 vs. PY22</v>
      </c>
      <c r="B3" s="52"/>
      <c r="C3" s="52"/>
      <c r="D3" s="52"/>
      <c r="E3" s="52"/>
      <c r="F3" s="52"/>
    </row>
    <row r="4" spans="1:11" s="51" customFormat="1" ht="15.75" x14ac:dyDescent="0.25">
      <c r="A4" s="52"/>
      <c r="B4" s="52"/>
      <c r="C4" s="52"/>
      <c r="D4" s="52"/>
      <c r="E4" s="52"/>
      <c r="F4" s="52"/>
    </row>
    <row r="5" spans="1:11" x14ac:dyDescent="0.25">
      <c r="A5" s="26" t="s">
        <v>12</v>
      </c>
      <c r="B5" s="27"/>
      <c r="C5" s="27"/>
      <c r="D5" s="27"/>
      <c r="E5" s="27"/>
      <c r="F5" s="28"/>
    </row>
    <row r="6" spans="1:11" ht="15.75" thickBot="1" x14ac:dyDescent="0.3">
      <c r="B6" s="59" t="s">
        <v>2</v>
      </c>
      <c r="C6" s="60"/>
      <c r="D6" s="60"/>
      <c r="E6" s="60"/>
      <c r="F6" s="60"/>
    </row>
    <row r="7" spans="1:11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1" x14ac:dyDescent="0.25">
      <c r="A8" s="3" t="s">
        <v>0</v>
      </c>
      <c r="B8" s="39">
        <v>321</v>
      </c>
      <c r="C8" s="40">
        <f>I8/12*H8</f>
        <v>177.5</v>
      </c>
      <c r="D8" s="40">
        <v>216</v>
      </c>
      <c r="E8" s="32">
        <f>D8/C8-1</f>
        <v>0.21690140845070416</v>
      </c>
      <c r="F8" s="33">
        <f>D8/B8-1</f>
        <v>-0.32710280373831779</v>
      </c>
      <c r="H8">
        <v>710</v>
      </c>
      <c r="I8">
        <v>3</v>
      </c>
      <c r="K8">
        <f>0.25*H8</f>
        <v>177.5</v>
      </c>
    </row>
    <row r="9" spans="1:11" x14ac:dyDescent="0.25">
      <c r="A9" s="3" t="s">
        <v>8</v>
      </c>
      <c r="B9" s="24">
        <v>210</v>
      </c>
      <c r="C9" s="41">
        <f>D9</f>
        <v>211</v>
      </c>
      <c r="D9" s="41">
        <v>211</v>
      </c>
      <c r="E9" s="34">
        <f t="shared" ref="E9:E11" si="0">D9/C9-1</f>
        <v>0</v>
      </c>
      <c r="F9" s="35">
        <f t="shared" ref="F9:F11" si="1">D9/B9-1</f>
        <v>4.761904761904745E-3</v>
      </c>
    </row>
    <row r="10" spans="1:11" x14ac:dyDescent="0.25">
      <c r="A10" s="3" t="s">
        <v>11</v>
      </c>
      <c r="B10" s="24">
        <v>140</v>
      </c>
      <c r="C10" s="41">
        <f>H10*C9</f>
        <v>129.76499999999999</v>
      </c>
      <c r="D10" s="41">
        <v>153</v>
      </c>
      <c r="E10" s="34">
        <f t="shared" si="0"/>
        <v>0.17905444457288189</v>
      </c>
      <c r="F10" s="35">
        <f t="shared" si="1"/>
        <v>9.2857142857142749E-2</v>
      </c>
      <c r="H10" s="5">
        <v>0.61499999999999999</v>
      </c>
    </row>
    <row r="11" spans="1:11" x14ac:dyDescent="0.25">
      <c r="A11" s="3" t="s">
        <v>9</v>
      </c>
      <c r="B11" s="10">
        <v>3731</v>
      </c>
      <c r="C11" s="30">
        <f>H11</f>
        <v>3270</v>
      </c>
      <c r="D11" s="30">
        <v>4952</v>
      </c>
      <c r="E11" s="34">
        <f t="shared" si="0"/>
        <v>0.5143730886850153</v>
      </c>
      <c r="F11" s="35">
        <f t="shared" si="1"/>
        <v>0.32725810774591269</v>
      </c>
      <c r="H11" s="6">
        <v>3270</v>
      </c>
    </row>
    <row r="12" spans="1:11" x14ac:dyDescent="0.25">
      <c r="B12" s="1"/>
      <c r="F12" s="36"/>
    </row>
    <row r="13" spans="1:11" ht="45" x14ac:dyDescent="0.25">
      <c r="B13" s="1"/>
      <c r="C13" s="11" t="s">
        <v>24</v>
      </c>
      <c r="D13" s="11" t="s">
        <v>4</v>
      </c>
      <c r="E13" s="11" t="s">
        <v>5</v>
      </c>
      <c r="F13" s="38"/>
    </row>
    <row r="14" spans="1:11" x14ac:dyDescent="0.25">
      <c r="A14" s="3" t="s">
        <v>7</v>
      </c>
      <c r="B14" s="37"/>
      <c r="C14" s="43">
        <f>8384787.95/4</f>
        <v>2096196.9875</v>
      </c>
      <c r="D14" s="43">
        <v>2088839.56</v>
      </c>
      <c r="E14" s="44">
        <f>D14/C14-1</f>
        <v>-3.5098931750563445E-3</v>
      </c>
      <c r="F14" s="38"/>
    </row>
    <row r="15" spans="1:11" hidden="1" x14ac:dyDescent="0.25">
      <c r="B15" s="14"/>
      <c r="C15" s="14"/>
    </row>
    <row r="16" spans="1:11" hidden="1" x14ac:dyDescent="0.25"/>
    <row r="17" spans="1:11" x14ac:dyDescent="0.25">
      <c r="C17" s="12"/>
    </row>
    <row r="18" spans="1:11" x14ac:dyDescent="0.25">
      <c r="A18" s="26" t="s">
        <v>13</v>
      </c>
      <c r="B18" s="27"/>
      <c r="C18" s="27"/>
      <c r="D18" s="27"/>
      <c r="E18" s="27"/>
      <c r="F18" s="28"/>
    </row>
    <row r="19" spans="1:11" ht="15.75" thickBot="1" x14ac:dyDescent="0.3">
      <c r="B19" s="59" t="s">
        <v>2</v>
      </c>
      <c r="C19" s="60"/>
      <c r="D19" s="60"/>
      <c r="E19" s="60"/>
      <c r="F19" s="60"/>
    </row>
    <row r="20" spans="1:11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1" x14ac:dyDescent="0.25">
      <c r="A21" s="3" t="s">
        <v>0</v>
      </c>
      <c r="B21" s="45">
        <f>592-321</f>
        <v>271</v>
      </c>
      <c r="C21" s="46">
        <f>I21/9*H21</f>
        <v>140.66666666666666</v>
      </c>
      <c r="D21" s="46">
        <f>383-216</f>
        <v>167</v>
      </c>
      <c r="E21" s="32">
        <f>D21/C21-1</f>
        <v>0.18720379146919441</v>
      </c>
      <c r="F21" s="33">
        <f>D21/B21-1</f>
        <v>-0.3837638376383764</v>
      </c>
      <c r="H21">
        <f>600-178</f>
        <v>422</v>
      </c>
      <c r="I21">
        <v>3</v>
      </c>
      <c r="K21">
        <f>0.25*H21</f>
        <v>105.5</v>
      </c>
    </row>
    <row r="22" spans="1:11" x14ac:dyDescent="0.25">
      <c r="A22" s="3" t="s">
        <v>8</v>
      </c>
      <c r="B22" s="25">
        <v>141</v>
      </c>
      <c r="C22" s="47">
        <f>D22</f>
        <v>127</v>
      </c>
      <c r="D22" s="47">
        <v>127</v>
      </c>
      <c r="E22" s="34">
        <f t="shared" ref="E22:E24" si="2">D22/C22-1</f>
        <v>0</v>
      </c>
      <c r="F22" s="35">
        <f t="shared" ref="F22:F24" si="3">D22/B22-1</f>
        <v>-9.9290780141844004E-2</v>
      </c>
    </row>
    <row r="23" spans="1:11" x14ac:dyDescent="0.25">
      <c r="A23" s="3" t="s">
        <v>11</v>
      </c>
      <c r="B23" s="25">
        <v>95</v>
      </c>
      <c r="C23" s="47">
        <f>H23*C22</f>
        <v>78.105000000000004</v>
      </c>
      <c r="D23" s="47">
        <v>92</v>
      </c>
      <c r="E23" s="34">
        <f t="shared" si="2"/>
        <v>0.17790154279495551</v>
      </c>
      <c r="F23" s="35">
        <f t="shared" si="3"/>
        <v>-3.157894736842104E-2</v>
      </c>
      <c r="H23" s="5">
        <v>0.61499999999999999</v>
      </c>
    </row>
    <row r="24" spans="1:11" x14ac:dyDescent="0.25">
      <c r="A24" s="3" t="s">
        <v>9</v>
      </c>
      <c r="B24" s="22">
        <v>3357</v>
      </c>
      <c r="C24" s="29">
        <f>H24</f>
        <v>3270</v>
      </c>
      <c r="D24" s="29">
        <v>4980</v>
      </c>
      <c r="E24" s="34">
        <f t="shared" si="2"/>
        <v>0.52293577981651373</v>
      </c>
      <c r="F24" s="35">
        <f t="shared" si="3"/>
        <v>0.48346738159070601</v>
      </c>
      <c r="H24" s="6">
        <v>3270</v>
      </c>
    </row>
    <row r="25" spans="1:11" x14ac:dyDescent="0.25">
      <c r="B25" s="1"/>
      <c r="F25" s="36"/>
    </row>
    <row r="26" spans="1:11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1" x14ac:dyDescent="0.25">
      <c r="A27" s="3" t="s">
        <v>7</v>
      </c>
      <c r="B27" s="37"/>
      <c r="C27" s="48">
        <f>(8384787.95-2000000-C14)/3</f>
        <v>1429530.3208333335</v>
      </c>
      <c r="D27" s="48">
        <v>2233449.77</v>
      </c>
      <c r="E27" s="44">
        <f>D27/C27-1</f>
        <v>0.56236614043836997</v>
      </c>
      <c r="F27" s="38"/>
    </row>
    <row r="28" spans="1:11" x14ac:dyDescent="0.25">
      <c r="C28" s="13"/>
      <c r="D28" s="14"/>
    </row>
    <row r="29" spans="1:11" hidden="1" x14ac:dyDescent="0.25"/>
    <row r="30" spans="1:11" hidden="1" x14ac:dyDescent="0.25">
      <c r="C30" s="12"/>
    </row>
    <row r="31" spans="1:11" x14ac:dyDescent="0.25">
      <c r="A31" s="26" t="s">
        <v>14</v>
      </c>
      <c r="B31" s="27"/>
      <c r="C31" s="27"/>
      <c r="D31" s="27"/>
      <c r="E31" s="27"/>
      <c r="F31" s="28"/>
    </row>
    <row r="32" spans="1:11" ht="15.75" thickBot="1" x14ac:dyDescent="0.3">
      <c r="B32" s="59" t="s">
        <v>2</v>
      </c>
      <c r="C32" s="60"/>
      <c r="D32" s="60"/>
      <c r="E32" s="60"/>
      <c r="F32" s="60"/>
    </row>
    <row r="33" spans="1:12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12" x14ac:dyDescent="0.25">
      <c r="A34" s="3" t="s">
        <v>0</v>
      </c>
      <c r="B34" s="1">
        <f>946-592</f>
        <v>354</v>
      </c>
      <c r="C34" s="46">
        <f>I34/6*H34</f>
        <v>140.5</v>
      </c>
      <c r="D34">
        <f>511-383</f>
        <v>128</v>
      </c>
      <c r="E34" s="4">
        <f>D34/C34-1</f>
        <v>-8.8967971530249157E-2</v>
      </c>
      <c r="F34" s="33">
        <f>D34/B34-1</f>
        <v>-0.6384180790960452</v>
      </c>
      <c r="H34" s="15">
        <f>600-178-141</f>
        <v>281</v>
      </c>
      <c r="I34">
        <v>3</v>
      </c>
      <c r="K34">
        <f>0.25*H34</f>
        <v>70.25</v>
      </c>
    </row>
    <row r="35" spans="1:12" x14ac:dyDescent="0.25">
      <c r="A35" s="3" t="s">
        <v>8</v>
      </c>
      <c r="B35" s="1">
        <v>121</v>
      </c>
      <c r="C35" s="47">
        <f>D35</f>
        <v>269</v>
      </c>
      <c r="D35">
        <v>269</v>
      </c>
      <c r="E35" s="4">
        <f t="shared" ref="E35:E37" si="4">D35/C35-1</f>
        <v>0</v>
      </c>
      <c r="F35" s="35">
        <f t="shared" ref="F35:F37" si="5">D35/B35-1</f>
        <v>1.2231404958677685</v>
      </c>
    </row>
    <row r="36" spans="1:12" x14ac:dyDescent="0.25">
      <c r="A36" s="3" t="s">
        <v>11</v>
      </c>
      <c r="B36" s="1">
        <v>86</v>
      </c>
      <c r="C36" s="47">
        <f>H36*C35</f>
        <v>165.435</v>
      </c>
      <c r="D36">
        <v>175</v>
      </c>
      <c r="E36" s="4">
        <f t="shared" si="4"/>
        <v>5.7817269622510326E-2</v>
      </c>
      <c r="F36" s="35">
        <f t="shared" si="5"/>
        <v>1.0348837209302326</v>
      </c>
      <c r="H36" s="5">
        <v>0.61499999999999999</v>
      </c>
    </row>
    <row r="37" spans="1:12" x14ac:dyDescent="0.25">
      <c r="A37" s="3" t="s">
        <v>9</v>
      </c>
      <c r="B37" s="22">
        <v>4095</v>
      </c>
      <c r="C37" s="29">
        <f>H37</f>
        <v>3270</v>
      </c>
      <c r="D37" s="19">
        <v>4695</v>
      </c>
      <c r="E37" s="4">
        <f t="shared" si="4"/>
        <v>0.43577981651376141</v>
      </c>
      <c r="F37" s="35">
        <f t="shared" si="5"/>
        <v>0.14652014652014644</v>
      </c>
      <c r="H37" s="6">
        <v>3270</v>
      </c>
    </row>
    <row r="38" spans="1:12" x14ac:dyDescent="0.25">
      <c r="B38" s="1"/>
      <c r="F38" s="36"/>
    </row>
    <row r="39" spans="1:12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12" x14ac:dyDescent="0.25">
      <c r="A40" s="3" t="s">
        <v>7</v>
      </c>
      <c r="B40" s="37"/>
      <c r="C40" s="48">
        <f>+(8096182-C27-C14)/2</f>
        <v>2285227.3458333332</v>
      </c>
      <c r="D40" s="48">
        <f>5319008-D27-D14</f>
        <v>996718.66999999993</v>
      </c>
      <c r="E40" s="44">
        <f>D40/C40-1</f>
        <v>-0.56384266457456755</v>
      </c>
      <c r="F40" s="38"/>
      <c r="L40" s="12"/>
    </row>
    <row r="41" spans="1:12" x14ac:dyDescent="0.25">
      <c r="C41" s="13"/>
    </row>
    <row r="42" spans="1:12" hidden="1" x14ac:dyDescent="0.25">
      <c r="D42" s="14"/>
    </row>
    <row r="43" spans="1:12" hidden="1" x14ac:dyDescent="0.25">
      <c r="C43" s="12"/>
    </row>
    <row r="44" spans="1:12" hidden="1" x14ac:dyDescent="0.25">
      <c r="A44" s="26" t="s">
        <v>15</v>
      </c>
      <c r="B44" s="27"/>
      <c r="C44" s="27"/>
      <c r="D44" s="27"/>
      <c r="E44" s="27"/>
      <c r="F44" s="28"/>
    </row>
    <row r="45" spans="1:12" ht="15.75" hidden="1" thickBot="1" x14ac:dyDescent="0.3">
      <c r="B45" s="59" t="s">
        <v>2</v>
      </c>
      <c r="C45" s="60"/>
      <c r="D45" s="60"/>
      <c r="E45" s="60"/>
      <c r="F45" s="60"/>
    </row>
    <row r="46" spans="1:12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12" hidden="1" x14ac:dyDescent="0.25">
      <c r="A47" s="3" t="s">
        <v>0</v>
      </c>
      <c r="B47" s="16"/>
      <c r="C47" s="46"/>
      <c r="D47" s="15"/>
      <c r="E47" s="4" t="e">
        <f>D47/C47-1</f>
        <v>#DIV/0!</v>
      </c>
      <c r="F47" s="4" t="e">
        <f>D47/B47-1</f>
        <v>#DIV/0!</v>
      </c>
      <c r="H47" s="15">
        <f>600-178-141-141</f>
        <v>140</v>
      </c>
      <c r="I47">
        <v>3</v>
      </c>
      <c r="K47">
        <f>0.25*H47</f>
        <v>35</v>
      </c>
    </row>
    <row r="48" spans="1:12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0.61499999999999999</v>
      </c>
    </row>
    <row r="50" spans="1:9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3270</v>
      </c>
    </row>
    <row r="51" spans="1:9" hidden="1" x14ac:dyDescent="0.25">
      <c r="B51" s="1"/>
    </row>
    <row r="52" spans="1:9" ht="45" hidden="1" x14ac:dyDescent="0.25">
      <c r="C52" s="11" t="s">
        <v>24</v>
      </c>
      <c r="D52" s="11" t="s">
        <v>4</v>
      </c>
      <c r="E52" s="11" t="s">
        <v>5</v>
      </c>
      <c r="F52" s="2"/>
    </row>
    <row r="53" spans="1:9" hidden="1" x14ac:dyDescent="0.25">
      <c r="A53" s="3" t="s">
        <v>7</v>
      </c>
      <c r="C53" s="31"/>
      <c r="D53" s="18"/>
      <c r="E53" s="4" t="e">
        <f>D53/C53-1</f>
        <v>#DIV/0!</v>
      </c>
    </row>
    <row r="54" spans="1:9" hidden="1" x14ac:dyDescent="0.25">
      <c r="C54" s="13"/>
    </row>
    <row r="55" spans="1:9" hidden="1" x14ac:dyDescent="0.25"/>
    <row r="56" spans="1:9" hidden="1" x14ac:dyDescent="0.25">
      <c r="C56" s="12"/>
    </row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9" t="s">
        <v>2</v>
      </c>
      <c r="C58" s="60"/>
      <c r="D58" s="60"/>
      <c r="E58" s="60"/>
      <c r="F58" s="60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946</v>
      </c>
      <c r="C60" s="46">
        <f>C47+C34+C21+C8</f>
        <v>458.66666666666663</v>
      </c>
      <c r="D60" s="46">
        <f>D47+D34+D21+D8</f>
        <v>511</v>
      </c>
      <c r="E60" s="32">
        <f>D60/C60-1</f>
        <v>0.11409883720930236</v>
      </c>
      <c r="F60" s="33">
        <f>D60/B60-1</f>
        <v>-0.45983086680761098</v>
      </c>
      <c r="H60">
        <v>599</v>
      </c>
      <c r="I60">
        <v>3</v>
      </c>
    </row>
    <row r="61" spans="1:9" x14ac:dyDescent="0.25">
      <c r="A61" s="3" t="s">
        <v>8</v>
      </c>
      <c r="B61" s="25">
        <f t="shared" si="8"/>
        <v>472</v>
      </c>
      <c r="C61" s="47">
        <f t="shared" ref="C61:D62" si="9">C48+C35+C22+C9</f>
        <v>607</v>
      </c>
      <c r="D61" s="47">
        <f t="shared" si="9"/>
        <v>607</v>
      </c>
      <c r="E61" s="34">
        <f t="shared" ref="E61:E63" si="10">D61/C61-1</f>
        <v>0</v>
      </c>
      <c r="F61" s="35">
        <f t="shared" ref="F61:F63" si="11">D61/B61-1</f>
        <v>0.28601694915254239</v>
      </c>
    </row>
    <row r="62" spans="1:9" x14ac:dyDescent="0.25">
      <c r="A62" s="3" t="s">
        <v>11</v>
      </c>
      <c r="B62" s="25">
        <f t="shared" si="8"/>
        <v>321</v>
      </c>
      <c r="C62" s="47">
        <f t="shared" si="9"/>
        <v>373.30500000000001</v>
      </c>
      <c r="D62" s="47">
        <f t="shared" si="9"/>
        <v>420</v>
      </c>
      <c r="E62" s="34">
        <f t="shared" si="10"/>
        <v>0.12508538594446894</v>
      </c>
      <c r="F62" s="35">
        <f t="shared" si="11"/>
        <v>0.30841121495327095</v>
      </c>
      <c r="H62" s="5">
        <v>0.61499999999999999</v>
      </c>
    </row>
    <row r="63" spans="1:9" x14ac:dyDescent="0.25">
      <c r="A63" s="3" t="s">
        <v>9</v>
      </c>
      <c r="B63" s="10">
        <f>SUM(B49*B50,B36*B37,B23*B24,B10*B11)/B62</f>
        <v>3717.834890965732</v>
      </c>
      <c r="C63" s="30">
        <f>SUM(C49*C50,C36*C37,C23*C24,C10*C11)/C62</f>
        <v>3269.9999999999995</v>
      </c>
      <c r="D63" s="30">
        <f>SUM(D49*D50,D36*D37,D23*D24,D10*D11)/D62</f>
        <v>4851.05</v>
      </c>
      <c r="E63" s="34">
        <f t="shared" si="10"/>
        <v>0.48350152905198795</v>
      </c>
      <c r="F63" s="35">
        <f t="shared" si="11"/>
        <v>0.30480511971845736</v>
      </c>
      <c r="H63" s="6">
        <v>3270</v>
      </c>
    </row>
    <row r="64" spans="1:9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5810954.6541666668</v>
      </c>
      <c r="D66" s="48">
        <f>D53+D40+D27+D14</f>
        <v>5319008</v>
      </c>
      <c r="E66" s="44">
        <f>D66/C66-1</f>
        <v>-8.4658491322750717E-2</v>
      </c>
      <c r="F66" s="38"/>
    </row>
  </sheetData>
  <mergeCells count="5">
    <mergeCell ref="B6:F6"/>
    <mergeCell ref="B19:F19"/>
    <mergeCell ref="B32:F32"/>
    <mergeCell ref="B45:F45"/>
    <mergeCell ref="B58:F58"/>
  </mergeCells>
  <phoneticPr fontId="3" type="noConversion"/>
  <printOptions horizontalCentered="1"/>
  <pageMargins left="0.7" right="0.7" top="0.25" bottom="0.2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38F1-733A-446B-A532-6B9BF9F03B73}">
  <dimension ref="A1:L35"/>
  <sheetViews>
    <sheetView workbookViewId="0">
      <selection activeCell="A13" sqref="A13"/>
    </sheetView>
  </sheetViews>
  <sheetFormatPr defaultRowHeight="15" x14ac:dyDescent="0.25"/>
  <cols>
    <col min="1" max="1" width="19.140625" customWidth="1"/>
    <col min="2" max="5" width="16.28515625" customWidth="1"/>
    <col min="6" max="6" width="13.140625" customWidth="1"/>
    <col min="7" max="8" width="10.85546875" customWidth="1"/>
    <col min="9" max="10" width="14.7109375" customWidth="1"/>
    <col min="11" max="11" width="12.7109375" customWidth="1"/>
    <col min="12" max="12" width="14" customWidth="1"/>
  </cols>
  <sheetData>
    <row r="1" spans="1:12" x14ac:dyDescent="0.25">
      <c r="C1" s="62" t="s">
        <v>1</v>
      </c>
      <c r="D1" s="63"/>
      <c r="E1" s="63"/>
      <c r="F1" s="63"/>
      <c r="G1" s="63"/>
      <c r="H1" s="63"/>
      <c r="I1" s="63"/>
      <c r="J1" s="63"/>
      <c r="K1" s="63"/>
      <c r="L1" s="64"/>
    </row>
    <row r="2" spans="1:12" ht="30" x14ac:dyDescent="0.25">
      <c r="B2" s="65" t="s">
        <v>44</v>
      </c>
      <c r="C2" s="66" t="s">
        <v>45</v>
      </c>
      <c r="D2" s="66" t="s">
        <v>46</v>
      </c>
      <c r="E2" s="67" t="s">
        <v>47</v>
      </c>
      <c r="F2" s="66" t="s">
        <v>48</v>
      </c>
      <c r="G2" s="66" t="s">
        <v>49</v>
      </c>
      <c r="H2" s="66" t="s">
        <v>50</v>
      </c>
      <c r="I2" s="67" t="s">
        <v>51</v>
      </c>
      <c r="J2" s="67" t="s">
        <v>52</v>
      </c>
      <c r="K2" s="68" t="s">
        <v>5</v>
      </c>
      <c r="L2" s="68" t="s">
        <v>6</v>
      </c>
    </row>
    <row r="3" spans="1:12" x14ac:dyDescent="0.25">
      <c r="A3" s="3" t="s">
        <v>0</v>
      </c>
      <c r="B3" s="69">
        <v>83</v>
      </c>
      <c r="C3" s="69">
        <v>47</v>
      </c>
      <c r="D3" s="69">
        <v>53</v>
      </c>
      <c r="E3" s="70">
        <f>SUM(B3:D3)</f>
        <v>183</v>
      </c>
      <c r="F3" s="69">
        <v>88</v>
      </c>
      <c r="G3" s="69">
        <v>48</v>
      </c>
      <c r="H3" s="69">
        <v>75</v>
      </c>
      <c r="I3" s="70">
        <f>SUM(F3:H3)</f>
        <v>211</v>
      </c>
      <c r="J3" s="71">
        <v>202</v>
      </c>
      <c r="K3" s="72">
        <v>4.36E-2</v>
      </c>
      <c r="L3" s="72">
        <v>0.1421</v>
      </c>
    </row>
    <row r="4" spans="1:12" x14ac:dyDescent="0.25">
      <c r="A4" s="3" t="s">
        <v>8</v>
      </c>
      <c r="B4" s="69">
        <v>15</v>
      </c>
      <c r="C4" s="69">
        <v>10</v>
      </c>
      <c r="D4" s="69">
        <v>6</v>
      </c>
      <c r="E4" s="70">
        <f>SUM(B4:D4)</f>
        <v>31</v>
      </c>
      <c r="F4" s="69">
        <v>6</v>
      </c>
      <c r="G4" s="69">
        <v>3</v>
      </c>
      <c r="H4" s="69">
        <v>0</v>
      </c>
      <c r="I4" s="70">
        <f>SUM(F4:H4)</f>
        <v>9</v>
      </c>
      <c r="J4" s="71">
        <v>9</v>
      </c>
      <c r="K4" s="73">
        <v>0</v>
      </c>
      <c r="L4" s="74">
        <v>1.1000000000000001</v>
      </c>
    </row>
    <row r="5" spans="1:12" x14ac:dyDescent="0.25">
      <c r="A5" s="3" t="s">
        <v>53</v>
      </c>
      <c r="B5" s="71">
        <v>68</v>
      </c>
      <c r="C5" s="71">
        <v>72</v>
      </c>
      <c r="D5" s="71">
        <v>101</v>
      </c>
      <c r="E5" s="70">
        <f>SUM(B5:D5)</f>
        <v>241</v>
      </c>
      <c r="F5" s="69">
        <v>51</v>
      </c>
      <c r="G5" s="69">
        <v>49</v>
      </c>
      <c r="H5" s="69">
        <v>373</v>
      </c>
      <c r="I5" s="70">
        <f>SUM(F5:H5)</f>
        <v>473</v>
      </c>
      <c r="J5" s="71">
        <v>355</v>
      </c>
      <c r="K5" s="75">
        <v>0.28499999999999998</v>
      </c>
      <c r="L5" s="75">
        <v>0.3826</v>
      </c>
    </row>
    <row r="6" spans="1:12" x14ac:dyDescent="0.25">
      <c r="A6" s="3" t="s">
        <v>9</v>
      </c>
      <c r="B6" s="76">
        <v>9006.44</v>
      </c>
      <c r="C6" s="76">
        <v>9274.01</v>
      </c>
      <c r="D6" s="76">
        <v>8720</v>
      </c>
      <c r="E6" s="77" t="s">
        <v>54</v>
      </c>
      <c r="F6" s="78">
        <v>9309.26</v>
      </c>
      <c r="G6" s="78">
        <v>9738.75</v>
      </c>
      <c r="H6" s="78">
        <v>7854.6</v>
      </c>
      <c r="I6" s="77" t="s">
        <v>55</v>
      </c>
      <c r="J6" s="76">
        <v>5700</v>
      </c>
      <c r="K6" s="72">
        <v>0.44550000000000001</v>
      </c>
      <c r="L6" s="79">
        <v>3.5999999999999999E-3</v>
      </c>
    </row>
    <row r="7" spans="1:12" x14ac:dyDescent="0.25">
      <c r="B7" s="80"/>
      <c r="C7" s="80"/>
      <c r="D7" s="80"/>
      <c r="E7" s="81"/>
      <c r="F7" s="80"/>
      <c r="G7" s="80"/>
      <c r="H7" s="80"/>
      <c r="I7" s="81"/>
      <c r="J7" s="80"/>
      <c r="K7" s="80"/>
      <c r="L7" s="80"/>
    </row>
    <row r="8" spans="1:12" x14ac:dyDescent="0.25">
      <c r="B8" s="80"/>
      <c r="C8" s="80"/>
      <c r="D8" s="80"/>
      <c r="E8" s="80"/>
      <c r="F8" s="80"/>
      <c r="G8" s="80"/>
      <c r="H8" s="80"/>
      <c r="I8" s="81"/>
      <c r="J8" s="80"/>
      <c r="K8" s="80"/>
      <c r="L8" s="80"/>
    </row>
    <row r="9" spans="1:12" ht="30" x14ac:dyDescent="0.25">
      <c r="B9" s="80"/>
      <c r="C9" s="82" t="s">
        <v>56</v>
      </c>
      <c r="D9" s="66" t="s">
        <v>4</v>
      </c>
      <c r="E9" s="66" t="s">
        <v>57</v>
      </c>
      <c r="F9" s="83"/>
      <c r="G9" s="83"/>
      <c r="H9" s="83"/>
      <c r="I9" s="83"/>
      <c r="J9" s="68"/>
      <c r="K9" s="80"/>
      <c r="L9" s="80"/>
    </row>
    <row r="10" spans="1:12" x14ac:dyDescent="0.25">
      <c r="A10" s="3"/>
      <c r="B10" s="81" t="s">
        <v>7</v>
      </c>
      <c r="C10" s="84">
        <v>3003277</v>
      </c>
      <c r="D10" s="84">
        <v>1514781.51</v>
      </c>
      <c r="E10" s="84">
        <v>50.44</v>
      </c>
      <c r="F10" s="84"/>
      <c r="G10" s="85"/>
      <c r="H10" s="85"/>
      <c r="I10" s="85"/>
      <c r="J10" s="85"/>
      <c r="K10" s="80"/>
      <c r="L10" s="80"/>
    </row>
    <row r="13" spans="1:12" x14ac:dyDescent="0.25">
      <c r="A13" s="86" t="s">
        <v>58</v>
      </c>
    </row>
    <row r="14" spans="1:12" x14ac:dyDescent="0.25">
      <c r="A14" s="86"/>
    </row>
    <row r="15" spans="1:12" x14ac:dyDescent="0.25">
      <c r="A15" s="86"/>
    </row>
    <row r="16" spans="1:12" x14ac:dyDescent="0.25">
      <c r="A16" s="86"/>
      <c r="B16" s="87"/>
      <c r="C16" t="s">
        <v>59</v>
      </c>
    </row>
    <row r="18" spans="1:12" x14ac:dyDescent="0.25">
      <c r="L18" s="5"/>
    </row>
    <row r="19" spans="1:12" x14ac:dyDescent="0.25">
      <c r="A19" t="s">
        <v>60</v>
      </c>
    </row>
    <row r="24" spans="1:12" x14ac:dyDescent="0.25">
      <c r="A24" s="87"/>
      <c r="B24" s="88"/>
    </row>
    <row r="25" spans="1:12" x14ac:dyDescent="0.25">
      <c r="A25" s="87"/>
      <c r="B25" s="89"/>
      <c r="C25" s="90"/>
      <c r="D25" s="90"/>
      <c r="E25" s="90"/>
      <c r="F25" s="90"/>
      <c r="G25" s="90"/>
      <c r="H25" s="90"/>
      <c r="I25" s="90"/>
      <c r="J25" s="90"/>
      <c r="K25" s="91"/>
      <c r="L25" s="91"/>
    </row>
    <row r="26" spans="1:12" x14ac:dyDescent="0.25">
      <c r="A26" s="86"/>
      <c r="B26" s="92"/>
      <c r="C26" s="92"/>
      <c r="D26" s="92"/>
      <c r="E26" s="89"/>
      <c r="F26" s="92"/>
      <c r="G26" s="92"/>
      <c r="H26" s="92"/>
      <c r="I26" s="89"/>
      <c r="J26" s="89"/>
      <c r="K26" s="93"/>
      <c r="L26" s="93"/>
    </row>
    <row r="27" spans="1:12" x14ac:dyDescent="0.25">
      <c r="A27" s="87"/>
      <c r="B27" s="92"/>
      <c r="C27" s="92"/>
      <c r="D27" s="92"/>
      <c r="E27" s="89"/>
      <c r="F27" s="92"/>
      <c r="G27" s="92"/>
      <c r="H27" s="92"/>
      <c r="I27" s="89"/>
      <c r="J27" s="89"/>
      <c r="K27" s="94"/>
      <c r="L27" s="94"/>
    </row>
    <row r="28" spans="1:12" x14ac:dyDescent="0.25">
      <c r="B28" s="95"/>
      <c r="C28" s="95"/>
      <c r="D28" s="95"/>
      <c r="E28" s="96"/>
      <c r="F28" s="92"/>
      <c r="G28" s="92"/>
      <c r="H28" s="92"/>
      <c r="I28" s="89"/>
      <c r="J28" s="89"/>
      <c r="K28" s="97"/>
      <c r="L28" s="98"/>
    </row>
    <row r="29" spans="1:12" x14ac:dyDescent="0.25">
      <c r="B29" s="99"/>
      <c r="C29" s="99"/>
      <c r="D29" s="99"/>
      <c r="E29" s="100"/>
      <c r="F29" s="101"/>
      <c r="G29" s="101"/>
      <c r="H29" s="101"/>
      <c r="I29" s="102"/>
      <c r="J29" s="102"/>
      <c r="K29" s="93"/>
      <c r="L29" s="93"/>
    </row>
    <row r="30" spans="1:12" x14ac:dyDescent="0.25">
      <c r="E30" s="3"/>
      <c r="I30" s="3"/>
      <c r="J30" s="3"/>
    </row>
    <row r="31" spans="1:12" x14ac:dyDescent="0.25">
      <c r="I31" s="3"/>
      <c r="J31" s="3"/>
    </row>
    <row r="32" spans="1:12" x14ac:dyDescent="0.25">
      <c r="C32" s="91"/>
      <c r="D32" s="91"/>
      <c r="E32" s="91"/>
      <c r="F32" s="103"/>
      <c r="G32" s="103"/>
      <c r="H32" s="103"/>
      <c r="I32" s="103"/>
      <c r="J32" s="103"/>
    </row>
    <row r="33" spans="2:10" x14ac:dyDescent="0.25">
      <c r="B33" s="3"/>
      <c r="C33" s="13"/>
      <c r="D33" s="13"/>
      <c r="E33" s="13"/>
      <c r="F33" s="13"/>
      <c r="G33" s="5"/>
      <c r="H33" s="5"/>
      <c r="I33" s="5"/>
      <c r="J33" s="5"/>
    </row>
    <row r="34" spans="2:10" x14ac:dyDescent="0.25">
      <c r="C34" s="91"/>
      <c r="D34" s="91"/>
      <c r="E34" s="91"/>
      <c r="F34" s="103"/>
      <c r="G34" s="103"/>
      <c r="H34" s="103"/>
      <c r="I34" s="103"/>
      <c r="J34" s="103"/>
    </row>
    <row r="35" spans="2:10" x14ac:dyDescent="0.25">
      <c r="B35" s="3"/>
      <c r="C35" s="13"/>
      <c r="D35" s="13"/>
      <c r="E35" s="13"/>
      <c r="F35" s="13"/>
      <c r="G35" s="5"/>
      <c r="H35" s="5"/>
      <c r="I35" s="5"/>
      <c r="J35" s="5"/>
    </row>
  </sheetData>
  <mergeCells count="1">
    <mergeCell ref="C1:L1"/>
  </mergeCells>
  <hyperlinks>
    <hyperlink ref="A13" r:id="rId1" xr:uid="{8AC27F9B-6092-4E2A-A045-B9584ED1905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864B-BE42-41A2-B575-9B1BFE5FC70C}">
  <dimension ref="A1:M36"/>
  <sheetViews>
    <sheetView workbookViewId="0">
      <selection activeCell="H24" sqref="H24"/>
    </sheetView>
  </sheetViews>
  <sheetFormatPr defaultRowHeight="15" x14ac:dyDescent="0.25"/>
  <cols>
    <col min="1" max="1" width="18.28515625" customWidth="1"/>
    <col min="2" max="2" width="12.85546875" customWidth="1"/>
    <col min="3" max="4" width="11.7109375" customWidth="1"/>
    <col min="5" max="5" width="15.7109375" customWidth="1"/>
    <col min="6" max="6" width="12.5703125" customWidth="1"/>
    <col min="7" max="8" width="14.7109375" customWidth="1"/>
    <col min="9" max="10" width="17" customWidth="1"/>
    <col min="11" max="11" width="12.42578125" customWidth="1"/>
    <col min="12" max="12" width="15.7109375" customWidth="1"/>
  </cols>
  <sheetData>
    <row r="1" spans="1:12" ht="15.75" thickBot="1" x14ac:dyDescent="0.3">
      <c r="B1" s="59" t="s">
        <v>3</v>
      </c>
      <c r="C1" s="60"/>
      <c r="D1" s="60"/>
      <c r="E1" s="60"/>
      <c r="F1" s="60"/>
    </row>
    <row r="2" spans="1:12" ht="30" x14ac:dyDescent="0.25">
      <c r="B2" s="65" t="s">
        <v>44</v>
      </c>
      <c r="C2" s="66" t="s">
        <v>45</v>
      </c>
      <c r="D2" s="66" t="s">
        <v>46</v>
      </c>
      <c r="E2" s="67" t="s">
        <v>64</v>
      </c>
      <c r="F2" s="66" t="s">
        <v>48</v>
      </c>
      <c r="G2" s="66" t="s">
        <v>49</v>
      </c>
      <c r="H2" s="66" t="s">
        <v>50</v>
      </c>
      <c r="I2" s="67" t="s">
        <v>51</v>
      </c>
      <c r="J2" s="67" t="s">
        <v>52</v>
      </c>
      <c r="K2" s="68" t="s">
        <v>5</v>
      </c>
      <c r="L2" s="68" t="s">
        <v>6</v>
      </c>
    </row>
    <row r="3" spans="1:12" x14ac:dyDescent="0.25">
      <c r="A3" s="3" t="s">
        <v>0</v>
      </c>
      <c r="B3" s="69">
        <v>21</v>
      </c>
      <c r="C3" s="69">
        <v>12</v>
      </c>
      <c r="D3" s="69">
        <v>14</v>
      </c>
      <c r="E3" s="70">
        <v>33</v>
      </c>
      <c r="F3" s="69">
        <v>39</v>
      </c>
      <c r="G3" s="69">
        <v>6</v>
      </c>
      <c r="H3" s="69">
        <v>17</v>
      </c>
      <c r="I3" s="70">
        <f>SUM(F3:H3)</f>
        <v>62</v>
      </c>
      <c r="J3" s="71">
        <v>81</v>
      </c>
      <c r="K3" s="104">
        <v>0.26569999999999999</v>
      </c>
      <c r="L3" s="72">
        <v>0.61050000000000004</v>
      </c>
    </row>
    <row r="4" spans="1:12" x14ac:dyDescent="0.25">
      <c r="A4" s="3" t="s">
        <v>8</v>
      </c>
      <c r="B4" s="69">
        <v>4</v>
      </c>
      <c r="C4" s="69">
        <v>2</v>
      </c>
      <c r="D4" s="69">
        <v>3</v>
      </c>
      <c r="E4" s="70">
        <v>6</v>
      </c>
      <c r="F4" s="69">
        <v>0</v>
      </c>
      <c r="G4" s="69">
        <v>0</v>
      </c>
      <c r="H4" s="69">
        <v>0</v>
      </c>
      <c r="I4" s="70">
        <f>SUM(F4:H4)</f>
        <v>0</v>
      </c>
      <c r="J4" s="71">
        <v>0</v>
      </c>
      <c r="K4" s="73">
        <v>0</v>
      </c>
      <c r="L4" s="74">
        <v>2</v>
      </c>
    </row>
    <row r="5" spans="1:12" x14ac:dyDescent="0.25">
      <c r="A5" s="3" t="s">
        <v>53</v>
      </c>
      <c r="B5" s="71">
        <v>187</v>
      </c>
      <c r="C5" s="71">
        <v>22</v>
      </c>
      <c r="D5" s="71">
        <v>54</v>
      </c>
      <c r="E5" s="70">
        <v>209</v>
      </c>
      <c r="F5" s="69">
        <v>14</v>
      </c>
      <c r="G5" s="69">
        <v>17</v>
      </c>
      <c r="H5" s="69">
        <v>40</v>
      </c>
      <c r="I5" s="70">
        <f>SUM(F5:H5)</f>
        <v>71</v>
      </c>
      <c r="J5" s="71">
        <v>57</v>
      </c>
      <c r="K5" s="75">
        <v>0.21879999999999999</v>
      </c>
      <c r="L5" s="109">
        <v>0.98570000000000002</v>
      </c>
    </row>
    <row r="6" spans="1:12" x14ac:dyDescent="0.25">
      <c r="A6" s="3" t="s">
        <v>9</v>
      </c>
      <c r="B6" s="76">
        <v>8608.7000000000007</v>
      </c>
      <c r="C6" s="76">
        <v>14725.45</v>
      </c>
      <c r="D6" s="76">
        <v>10368.73</v>
      </c>
      <c r="E6" s="77" t="s">
        <v>65</v>
      </c>
      <c r="F6" s="78">
        <v>14037.51</v>
      </c>
      <c r="G6" s="78">
        <v>9691.83</v>
      </c>
      <c r="H6" s="78">
        <v>10604.01</v>
      </c>
      <c r="I6" s="77" t="s">
        <v>66</v>
      </c>
      <c r="J6" s="76">
        <v>8200</v>
      </c>
      <c r="K6" s="72">
        <v>0.33040000000000003</v>
      </c>
      <c r="L6" s="72">
        <v>1.8599999999999998E-2</v>
      </c>
    </row>
    <row r="7" spans="1:12" x14ac:dyDescent="0.25">
      <c r="B7" s="69"/>
      <c r="C7" s="69"/>
      <c r="D7" s="69"/>
      <c r="E7" s="65"/>
      <c r="F7" s="69"/>
      <c r="G7" s="69"/>
      <c r="H7" s="69"/>
      <c r="I7" s="65"/>
      <c r="J7" s="69"/>
      <c r="K7" s="69"/>
      <c r="L7" s="69"/>
    </row>
    <row r="8" spans="1:12" x14ac:dyDescent="0.25">
      <c r="B8" s="69"/>
      <c r="C8" s="69"/>
      <c r="D8" s="69"/>
      <c r="E8" s="65"/>
      <c r="F8" s="69"/>
      <c r="G8" s="69"/>
      <c r="H8" s="69"/>
      <c r="I8" s="69"/>
      <c r="J8" s="69"/>
      <c r="K8" s="69"/>
      <c r="L8" s="69"/>
    </row>
    <row r="9" spans="1:12" ht="45" x14ac:dyDescent="0.25">
      <c r="A9" s="3" t="s">
        <v>7</v>
      </c>
      <c r="B9" s="80"/>
      <c r="C9" s="82" t="s">
        <v>56</v>
      </c>
      <c r="D9" s="66" t="s">
        <v>4</v>
      </c>
      <c r="E9" s="66" t="s">
        <v>57</v>
      </c>
      <c r="F9" s="83"/>
      <c r="G9" s="83"/>
      <c r="H9" s="83"/>
      <c r="I9" s="83"/>
      <c r="J9" s="68"/>
      <c r="K9" s="80"/>
      <c r="L9" s="80"/>
    </row>
    <row r="10" spans="1:12" x14ac:dyDescent="0.25">
      <c r="B10" s="81" t="s">
        <v>7</v>
      </c>
      <c r="C10" s="84">
        <v>952460</v>
      </c>
      <c r="D10" s="84">
        <v>360646.44</v>
      </c>
      <c r="E10" s="84">
        <v>37.86</v>
      </c>
      <c r="F10" s="84"/>
      <c r="G10" s="85"/>
      <c r="H10" s="85"/>
      <c r="I10" s="85"/>
      <c r="J10" s="85"/>
      <c r="K10" s="80"/>
      <c r="L10" s="80"/>
    </row>
    <row r="11" spans="1:12" x14ac:dyDescent="0.25">
      <c r="B11" s="3"/>
      <c r="C11" s="13"/>
      <c r="D11" s="13"/>
      <c r="E11" s="13"/>
      <c r="F11" s="13"/>
      <c r="G11" s="5"/>
      <c r="H11" s="5"/>
      <c r="I11" s="5"/>
      <c r="J11" s="5"/>
    </row>
    <row r="12" spans="1:12" x14ac:dyDescent="0.25">
      <c r="A12" s="86"/>
    </row>
    <row r="13" spans="1:12" x14ac:dyDescent="0.25">
      <c r="A13" s="86" t="s">
        <v>58</v>
      </c>
    </row>
    <row r="14" spans="1:12" x14ac:dyDescent="0.25">
      <c r="A14" s="86"/>
    </row>
    <row r="18" spans="1:13" x14ac:dyDescent="0.25">
      <c r="A18" t="s">
        <v>67</v>
      </c>
    </row>
    <row r="21" spans="1:13" x14ac:dyDescent="0.25">
      <c r="A21" s="87"/>
    </row>
    <row r="22" spans="1:13" x14ac:dyDescent="0.25">
      <c r="A22" s="87"/>
    </row>
    <row r="23" spans="1:13" x14ac:dyDescent="0.25">
      <c r="A23" s="87"/>
    </row>
    <row r="24" spans="1:13" x14ac:dyDescent="0.25">
      <c r="A24" s="87"/>
      <c r="B24" s="89"/>
      <c r="C24" s="90"/>
      <c r="D24" s="90"/>
      <c r="E24" s="90"/>
      <c r="F24" s="90"/>
      <c r="G24" s="90"/>
      <c r="H24" s="90"/>
      <c r="I24" s="90"/>
      <c r="J24" s="90"/>
      <c r="K24" s="91"/>
      <c r="L24" s="91"/>
    </row>
    <row r="25" spans="1:13" x14ac:dyDescent="0.25">
      <c r="K25" s="110"/>
      <c r="L25" s="110"/>
    </row>
    <row r="26" spans="1:13" x14ac:dyDescent="0.25">
      <c r="K26" s="111"/>
      <c r="L26" s="111"/>
    </row>
    <row r="27" spans="1:13" x14ac:dyDescent="0.25">
      <c r="B27" s="107"/>
      <c r="C27" s="63"/>
      <c r="D27" s="63"/>
      <c r="E27" s="63"/>
      <c r="F27" s="63"/>
      <c r="G27" s="63"/>
      <c r="H27" s="89"/>
    </row>
    <row r="28" spans="1:13" x14ac:dyDescent="0.25">
      <c r="B28" s="108"/>
      <c r="C28" s="89"/>
      <c r="D28" s="89"/>
      <c r="E28" s="90"/>
      <c r="F28" s="90"/>
      <c r="G28" s="90"/>
      <c r="H28" s="90"/>
      <c r="I28" s="90"/>
      <c r="J28" s="90"/>
      <c r="K28" s="90"/>
      <c r="L28" s="91"/>
      <c r="M28" s="91"/>
    </row>
    <row r="29" spans="1:13" x14ac:dyDescent="0.25">
      <c r="C29" s="92"/>
      <c r="D29" s="92"/>
      <c r="E29" s="92"/>
      <c r="F29" s="92"/>
      <c r="G29" s="92"/>
      <c r="H29" s="92"/>
      <c r="I29" s="92"/>
      <c r="J29" s="92"/>
      <c r="K29" s="89"/>
      <c r="L29" s="106"/>
      <c r="M29" s="93"/>
    </row>
    <row r="30" spans="1:13" x14ac:dyDescent="0.25">
      <c r="C30" s="92"/>
      <c r="D30" s="92"/>
      <c r="E30" s="92"/>
      <c r="F30" s="92"/>
      <c r="G30" s="92"/>
      <c r="H30" s="92"/>
      <c r="I30" s="92"/>
      <c r="J30" s="92"/>
      <c r="K30" s="89"/>
      <c r="L30" s="94"/>
      <c r="M30" s="112"/>
    </row>
    <row r="31" spans="1:13" x14ac:dyDescent="0.25">
      <c r="C31" s="95"/>
      <c r="D31" s="95"/>
      <c r="E31" s="95"/>
      <c r="F31" s="92"/>
      <c r="G31" s="92"/>
      <c r="H31" s="92"/>
      <c r="I31" s="92"/>
      <c r="J31" s="92"/>
      <c r="K31" s="89"/>
      <c r="L31" s="97"/>
      <c r="M31" s="98"/>
    </row>
    <row r="32" spans="1:13" x14ac:dyDescent="0.25">
      <c r="B32" s="3"/>
      <c r="C32" s="99"/>
      <c r="D32" s="99"/>
      <c r="E32" s="99"/>
      <c r="F32" s="101"/>
      <c r="G32" s="101"/>
      <c r="H32" s="101"/>
      <c r="I32" s="101"/>
      <c r="J32" s="101"/>
      <c r="K32" s="102"/>
      <c r="L32" s="93"/>
      <c r="M32" s="93"/>
    </row>
    <row r="33" spans="3:13" x14ac:dyDescent="0.25">
      <c r="C33" s="92"/>
      <c r="D33" s="92"/>
      <c r="E33" s="92"/>
      <c r="F33" s="92"/>
      <c r="G33" s="92"/>
      <c r="H33" s="92"/>
      <c r="I33" s="92"/>
      <c r="J33" s="92"/>
      <c r="K33" s="89"/>
      <c r="L33" s="92"/>
      <c r="M33" s="92"/>
    </row>
    <row r="34" spans="3:13" x14ac:dyDescent="0.25"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3:13" x14ac:dyDescent="0.25">
      <c r="E35" s="91"/>
      <c r="F35" s="91"/>
      <c r="G35" s="103"/>
      <c r="H35" s="103"/>
      <c r="I35" s="103"/>
      <c r="J35" s="103"/>
      <c r="K35" s="103"/>
    </row>
    <row r="36" spans="3:13" x14ac:dyDescent="0.25">
      <c r="C36" s="3"/>
      <c r="D36" s="3"/>
      <c r="E36" s="13"/>
      <c r="F36" s="5"/>
      <c r="G36" s="13"/>
      <c r="H36" s="13"/>
      <c r="I36" s="5"/>
      <c r="J36" s="5"/>
      <c r="K36" s="5"/>
    </row>
  </sheetData>
  <mergeCells count="2">
    <mergeCell ref="B1:F1"/>
    <mergeCell ref="C27:G27"/>
  </mergeCells>
  <hyperlinks>
    <hyperlink ref="A13" r:id="rId1" xr:uid="{25E7075F-A425-4F5B-AAEB-D7746310528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4F8B-C3B2-42EF-9DFD-8CF74940DE53}">
  <dimension ref="A1:M37"/>
  <sheetViews>
    <sheetView workbookViewId="0">
      <selection activeCell="H30" sqref="H30"/>
    </sheetView>
  </sheetViews>
  <sheetFormatPr defaultRowHeight="15" x14ac:dyDescent="0.25"/>
  <cols>
    <col min="1" max="1" width="20" customWidth="1"/>
    <col min="2" max="2" width="13.5703125" customWidth="1"/>
    <col min="3" max="4" width="12.7109375" customWidth="1"/>
    <col min="5" max="5" width="16.28515625" customWidth="1"/>
    <col min="6" max="6" width="15.7109375" customWidth="1"/>
    <col min="7" max="8" width="14" customWidth="1"/>
    <col min="9" max="10" width="15.140625" customWidth="1"/>
    <col min="11" max="11" width="11.7109375" customWidth="1"/>
    <col min="12" max="12" width="13.28515625" customWidth="1"/>
  </cols>
  <sheetData>
    <row r="1" spans="1:12" ht="15.75" thickBot="1" x14ac:dyDescent="0.3">
      <c r="B1" s="59" t="s">
        <v>2</v>
      </c>
      <c r="C1" s="60"/>
      <c r="D1" s="60"/>
      <c r="E1" s="60"/>
      <c r="F1" s="60"/>
    </row>
    <row r="2" spans="1:12" ht="45" x14ac:dyDescent="0.25">
      <c r="B2" s="65" t="s">
        <v>44</v>
      </c>
      <c r="C2" s="66" t="s">
        <v>45</v>
      </c>
      <c r="D2" s="66" t="s">
        <v>46</v>
      </c>
      <c r="E2" s="67" t="s">
        <v>47</v>
      </c>
      <c r="F2" s="66" t="s">
        <v>48</v>
      </c>
      <c r="G2" s="66" t="s">
        <v>49</v>
      </c>
      <c r="H2" s="66" t="s">
        <v>50</v>
      </c>
      <c r="I2" s="67" t="s">
        <v>51</v>
      </c>
      <c r="J2" s="67" t="s">
        <v>52</v>
      </c>
      <c r="K2" s="68" t="s">
        <v>5</v>
      </c>
      <c r="L2" s="68" t="s">
        <v>6</v>
      </c>
    </row>
    <row r="3" spans="1:12" x14ac:dyDescent="0.25">
      <c r="A3" s="3" t="s">
        <v>0</v>
      </c>
      <c r="B3" s="69">
        <v>43</v>
      </c>
      <c r="C3" s="69">
        <v>25</v>
      </c>
      <c r="D3" s="69">
        <v>36</v>
      </c>
      <c r="E3" s="70">
        <f>SUM(B3:D3)</f>
        <v>104</v>
      </c>
      <c r="F3" s="69">
        <v>39</v>
      </c>
      <c r="G3" s="69">
        <v>33</v>
      </c>
      <c r="H3" s="69">
        <v>30</v>
      </c>
      <c r="I3" s="70">
        <f>SUM(F3:H3)</f>
        <v>102</v>
      </c>
      <c r="J3" s="71">
        <v>139</v>
      </c>
      <c r="K3" s="79">
        <v>0.30709999999999998</v>
      </c>
      <c r="L3" s="79">
        <v>1.9400000000000001E-2</v>
      </c>
    </row>
    <row r="4" spans="1:12" x14ac:dyDescent="0.25">
      <c r="A4" s="3" t="s">
        <v>8</v>
      </c>
      <c r="B4" s="69">
        <v>2</v>
      </c>
      <c r="C4" s="69">
        <v>2</v>
      </c>
      <c r="D4" s="69">
        <v>8</v>
      </c>
      <c r="E4" s="70">
        <f>SUM(B4:D4)</f>
        <v>12</v>
      </c>
      <c r="F4" s="71">
        <v>0</v>
      </c>
      <c r="G4" s="69">
        <v>0</v>
      </c>
      <c r="H4" s="69">
        <v>0</v>
      </c>
      <c r="I4" s="70">
        <v>0</v>
      </c>
      <c r="J4" s="71">
        <v>0</v>
      </c>
      <c r="K4" s="104">
        <v>0</v>
      </c>
      <c r="L4" s="79">
        <v>2</v>
      </c>
    </row>
    <row r="5" spans="1:12" x14ac:dyDescent="0.25">
      <c r="A5" s="3" t="s">
        <v>53</v>
      </c>
      <c r="B5" s="71">
        <v>140</v>
      </c>
      <c r="C5" s="71">
        <v>27</v>
      </c>
      <c r="D5" s="71">
        <v>111</v>
      </c>
      <c r="E5" s="70">
        <f>SUM(B5:D5)</f>
        <v>278</v>
      </c>
      <c r="F5" s="69">
        <v>34</v>
      </c>
      <c r="G5" s="69">
        <v>22</v>
      </c>
      <c r="H5" s="69">
        <v>204</v>
      </c>
      <c r="I5" s="70">
        <f>SUM(F5:H5)</f>
        <v>260</v>
      </c>
      <c r="J5" s="71">
        <v>170</v>
      </c>
      <c r="K5" s="105">
        <v>0.41860000000000003</v>
      </c>
      <c r="L5" s="79">
        <v>6.6900000000000001E-2</v>
      </c>
    </row>
    <row r="6" spans="1:12" x14ac:dyDescent="0.25">
      <c r="A6" s="3" t="s">
        <v>9</v>
      </c>
      <c r="B6" s="76">
        <v>3731.36</v>
      </c>
      <c r="C6" s="76">
        <v>6201.28</v>
      </c>
      <c r="D6" s="76">
        <v>4710.8599999999997</v>
      </c>
      <c r="E6" s="77" t="s">
        <v>61</v>
      </c>
      <c r="F6" s="78">
        <v>6920.49</v>
      </c>
      <c r="G6" s="78">
        <v>7469.36</v>
      </c>
      <c r="H6" s="78">
        <v>5310.78</v>
      </c>
      <c r="I6" s="77" t="s">
        <v>62</v>
      </c>
      <c r="J6" s="76">
        <v>3800</v>
      </c>
      <c r="K6" s="72">
        <v>0.53380000000000005</v>
      </c>
      <c r="L6" s="72">
        <v>0.29449999999999998</v>
      </c>
    </row>
    <row r="7" spans="1:12" x14ac:dyDescent="0.25">
      <c r="B7" s="69"/>
      <c r="C7" s="69"/>
      <c r="D7" s="69"/>
      <c r="E7" s="65"/>
      <c r="F7" s="69"/>
      <c r="G7" s="69"/>
      <c r="H7" s="69"/>
      <c r="I7" s="65"/>
      <c r="J7" s="69"/>
      <c r="K7" s="69"/>
      <c r="L7" s="69"/>
    </row>
    <row r="8" spans="1:12" x14ac:dyDescent="0.25">
      <c r="B8" s="69"/>
      <c r="C8" s="69"/>
      <c r="D8" s="69"/>
      <c r="E8" s="65"/>
      <c r="F8" s="69"/>
      <c r="G8" s="69"/>
      <c r="H8" s="69"/>
      <c r="I8" s="69"/>
      <c r="J8" s="69"/>
      <c r="K8" s="69"/>
      <c r="L8" s="69"/>
    </row>
    <row r="9" spans="1:12" ht="45" x14ac:dyDescent="0.25">
      <c r="A9" s="3" t="s">
        <v>7</v>
      </c>
      <c r="B9" s="80"/>
      <c r="C9" s="82" t="s">
        <v>56</v>
      </c>
      <c r="D9" s="66" t="s">
        <v>4</v>
      </c>
      <c r="E9" s="66" t="s">
        <v>57</v>
      </c>
      <c r="F9" s="83"/>
      <c r="G9" s="83"/>
      <c r="H9" s="83"/>
      <c r="I9" s="83"/>
      <c r="J9" s="68"/>
      <c r="K9" s="80"/>
      <c r="L9" s="80"/>
    </row>
    <row r="10" spans="1:12" x14ac:dyDescent="0.25">
      <c r="A10" s="3"/>
      <c r="B10" s="81" t="s">
        <v>7</v>
      </c>
      <c r="C10" s="84">
        <v>1874615</v>
      </c>
      <c r="D10" s="84">
        <v>701349.76</v>
      </c>
      <c r="E10" s="84">
        <v>37.409999999999997</v>
      </c>
      <c r="F10" s="84"/>
      <c r="G10" s="85"/>
      <c r="H10" s="85"/>
      <c r="I10" s="85"/>
      <c r="J10" s="85"/>
      <c r="K10" s="80"/>
      <c r="L10" s="80"/>
    </row>
    <row r="13" spans="1:12" x14ac:dyDescent="0.25">
      <c r="A13" s="86" t="s">
        <v>58</v>
      </c>
    </row>
    <row r="14" spans="1:12" x14ac:dyDescent="0.25">
      <c r="A14" s="86"/>
    </row>
    <row r="15" spans="1:12" x14ac:dyDescent="0.25">
      <c r="A15" s="86"/>
    </row>
    <row r="16" spans="1:12" x14ac:dyDescent="0.25">
      <c r="A16" s="86"/>
    </row>
    <row r="22" spans="1:13" x14ac:dyDescent="0.25">
      <c r="A22" t="s">
        <v>63</v>
      </c>
    </row>
    <row r="26" spans="1:13" x14ac:dyDescent="0.25">
      <c r="A26" s="87"/>
    </row>
    <row r="27" spans="1:13" x14ac:dyDescent="0.25">
      <c r="A27" s="87"/>
    </row>
    <row r="28" spans="1:13" x14ac:dyDescent="0.25">
      <c r="A28" s="87"/>
      <c r="B28" s="89"/>
      <c r="C28" s="63"/>
      <c r="D28" s="63"/>
      <c r="E28" s="63"/>
      <c r="F28" s="63"/>
      <c r="G28" s="63"/>
      <c r="H28" s="89"/>
    </row>
    <row r="29" spans="1:13" x14ac:dyDescent="0.25">
      <c r="A29" s="87"/>
      <c r="C29" s="89"/>
      <c r="D29" s="89"/>
      <c r="E29" s="90"/>
      <c r="F29" s="90"/>
      <c r="G29" s="90"/>
      <c r="H29" s="90"/>
      <c r="I29" s="90"/>
      <c r="J29" s="90"/>
      <c r="K29" s="90"/>
      <c r="L29" s="91"/>
      <c r="M29" s="91"/>
    </row>
    <row r="30" spans="1:13" x14ac:dyDescent="0.25">
      <c r="C30" s="92"/>
      <c r="D30" s="92"/>
      <c r="E30" s="92"/>
      <c r="F30" s="92"/>
      <c r="G30" s="92"/>
      <c r="H30" s="92"/>
      <c r="I30" s="92"/>
      <c r="J30" s="92"/>
      <c r="K30" s="89"/>
      <c r="L30" s="106"/>
      <c r="M30" s="93"/>
    </row>
    <row r="31" spans="1:13" x14ac:dyDescent="0.25">
      <c r="B31" s="107"/>
      <c r="C31" s="92"/>
      <c r="D31" s="92"/>
      <c r="E31" s="92"/>
      <c r="F31" s="92"/>
      <c r="G31" s="95"/>
      <c r="H31" s="95"/>
      <c r="I31" s="92"/>
      <c r="J31" s="92"/>
      <c r="K31" s="89"/>
      <c r="L31" s="89"/>
      <c r="M31" s="89"/>
    </row>
    <row r="32" spans="1:13" x14ac:dyDescent="0.25">
      <c r="B32" s="108"/>
      <c r="C32" s="95"/>
      <c r="D32" s="95"/>
      <c r="E32" s="95"/>
      <c r="F32" s="92"/>
      <c r="G32" s="92"/>
      <c r="H32" s="92"/>
      <c r="I32" s="92"/>
      <c r="J32" s="92"/>
      <c r="K32" s="89"/>
      <c r="L32" s="97"/>
      <c r="M32" s="98"/>
    </row>
    <row r="33" spans="2:13" x14ac:dyDescent="0.25">
      <c r="C33" s="99"/>
      <c r="D33" s="99"/>
      <c r="E33" s="99"/>
      <c r="F33" s="101"/>
      <c r="G33" s="101"/>
      <c r="H33" s="101"/>
      <c r="I33" s="101"/>
      <c r="J33" s="101"/>
      <c r="K33" s="102"/>
      <c r="L33" s="93"/>
      <c r="M33" s="93"/>
    </row>
    <row r="34" spans="2:13" x14ac:dyDescent="0.25">
      <c r="C34" s="92"/>
      <c r="D34" s="92"/>
      <c r="E34" s="92"/>
      <c r="F34" s="92"/>
      <c r="G34" s="92"/>
      <c r="H34" s="92"/>
      <c r="I34" s="92"/>
      <c r="J34" s="92"/>
      <c r="K34" s="89"/>
      <c r="L34" s="92"/>
      <c r="M34" s="92"/>
    </row>
    <row r="35" spans="2:13" x14ac:dyDescent="0.25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2:13" x14ac:dyDescent="0.25">
      <c r="B36" s="3"/>
      <c r="E36" s="91"/>
      <c r="F36" s="91"/>
      <c r="G36" s="103"/>
      <c r="H36" s="103"/>
      <c r="I36" s="103"/>
      <c r="J36" s="103"/>
      <c r="K36" s="103"/>
    </row>
    <row r="37" spans="2:13" x14ac:dyDescent="0.25">
      <c r="C37" s="3"/>
      <c r="D37" s="3"/>
      <c r="E37" s="13"/>
      <c r="F37" s="5"/>
      <c r="G37" s="13"/>
      <c r="H37" s="13"/>
      <c r="I37" s="5"/>
      <c r="J37" s="5"/>
      <c r="K37" s="5"/>
    </row>
  </sheetData>
  <mergeCells count="2">
    <mergeCell ref="B1:F1"/>
    <mergeCell ref="C28:G28"/>
  </mergeCells>
  <hyperlinks>
    <hyperlink ref="A13" r:id="rId1" xr:uid="{B766BCF0-CE22-4182-8557-2DC606DEBE1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0663-B87D-4169-847D-F3D0FFBCC715}">
  <dimension ref="A1:F23"/>
  <sheetViews>
    <sheetView workbookViewId="0">
      <selection activeCell="H23" sqref="H23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3" t="s">
        <v>68</v>
      </c>
      <c r="B1" s="59" t="s">
        <v>69</v>
      </c>
      <c r="C1" s="60"/>
      <c r="D1" s="60"/>
      <c r="E1" s="60"/>
      <c r="F1" s="60"/>
    </row>
    <row r="2" spans="1:6" ht="45" x14ac:dyDescent="0.25">
      <c r="B2" s="113" t="s">
        <v>70</v>
      </c>
      <c r="C2" s="114" t="s">
        <v>71</v>
      </c>
      <c r="D2" s="114" t="s">
        <v>72</v>
      </c>
      <c r="E2" s="114" t="s">
        <v>5</v>
      </c>
      <c r="F2" s="114" t="s">
        <v>6</v>
      </c>
    </row>
    <row r="3" spans="1:6" x14ac:dyDescent="0.25">
      <c r="A3" s="3" t="s">
        <v>0</v>
      </c>
      <c r="B3" s="1"/>
    </row>
    <row r="4" spans="1:6" x14ac:dyDescent="0.25">
      <c r="A4" s="3" t="s">
        <v>73</v>
      </c>
      <c r="B4" s="1"/>
    </row>
    <row r="5" spans="1:6" x14ac:dyDescent="0.25">
      <c r="A5" s="3" t="s">
        <v>53</v>
      </c>
      <c r="B5" s="1"/>
    </row>
    <row r="6" spans="1:6" x14ac:dyDescent="0.25">
      <c r="A6" s="3" t="s">
        <v>74</v>
      </c>
      <c r="B6" s="1"/>
    </row>
    <row r="7" spans="1:6" x14ac:dyDescent="0.25">
      <c r="B7" s="1"/>
    </row>
    <row r="8" spans="1:6" ht="45" x14ac:dyDescent="0.25">
      <c r="B8" s="115" t="s">
        <v>56</v>
      </c>
      <c r="C8" s="116" t="s">
        <v>4</v>
      </c>
      <c r="D8" s="116" t="s">
        <v>57</v>
      </c>
      <c r="E8" s="2"/>
      <c r="F8" s="2"/>
    </row>
    <row r="9" spans="1:6" x14ac:dyDescent="0.25">
      <c r="A9" s="3" t="s">
        <v>7</v>
      </c>
      <c r="B9" s="1"/>
    </row>
    <row r="10" spans="1:6" x14ac:dyDescent="0.25">
      <c r="B10" t="s">
        <v>75</v>
      </c>
    </row>
    <row r="12" spans="1:6" x14ac:dyDescent="0.25">
      <c r="A12" s="3" t="s">
        <v>76</v>
      </c>
    </row>
    <row r="13" spans="1:6" ht="15.75" thickBot="1" x14ac:dyDescent="0.3">
      <c r="A13" s="3"/>
      <c r="B13" s="59" t="s">
        <v>69</v>
      </c>
      <c r="C13" s="60"/>
      <c r="D13" s="60"/>
      <c r="E13" s="60"/>
      <c r="F13" s="60"/>
    </row>
    <row r="14" spans="1:6" ht="45" x14ac:dyDescent="0.25">
      <c r="B14" s="113" t="s">
        <v>70</v>
      </c>
      <c r="C14" s="114" t="s">
        <v>71</v>
      </c>
      <c r="D14" s="114" t="s">
        <v>72</v>
      </c>
      <c r="E14" s="114" t="s">
        <v>5</v>
      </c>
      <c r="F14" s="114" t="s">
        <v>6</v>
      </c>
    </row>
    <row r="15" spans="1:6" x14ac:dyDescent="0.25">
      <c r="A15" s="3" t="s">
        <v>0</v>
      </c>
      <c r="B15" s="117">
        <v>5420</v>
      </c>
      <c r="C15" t="s">
        <v>77</v>
      </c>
      <c r="D15" s="118">
        <v>5436</v>
      </c>
      <c r="E15" t="s">
        <v>77</v>
      </c>
      <c r="F15" t="s">
        <v>77</v>
      </c>
    </row>
    <row r="16" spans="1:6" ht="60" x14ac:dyDescent="0.25">
      <c r="A16" s="119" t="s">
        <v>78</v>
      </c>
      <c r="B16" s="117">
        <v>3445</v>
      </c>
      <c r="C16" t="s">
        <v>77</v>
      </c>
      <c r="D16" s="118">
        <v>4437</v>
      </c>
      <c r="E16" t="s">
        <v>77</v>
      </c>
      <c r="F16" t="s">
        <v>77</v>
      </c>
    </row>
    <row r="17" spans="1:6" ht="32.25" customHeight="1" x14ac:dyDescent="0.25">
      <c r="A17" s="119" t="s">
        <v>79</v>
      </c>
      <c r="B17" s="120">
        <v>0.4511</v>
      </c>
      <c r="C17" s="5">
        <v>0.26</v>
      </c>
      <c r="D17" s="5">
        <v>7.9600000000000004E-2</v>
      </c>
      <c r="E17" s="5">
        <f>D17-C17</f>
        <v>-0.1804</v>
      </c>
      <c r="F17" s="5">
        <f>D17-B17</f>
        <v>-0.3715</v>
      </c>
    </row>
    <row r="18" spans="1:6" x14ac:dyDescent="0.25">
      <c r="A18" s="3" t="s">
        <v>80</v>
      </c>
      <c r="B18" s="121">
        <v>7985</v>
      </c>
      <c r="C18" s="122">
        <v>5720</v>
      </c>
      <c r="D18" s="122">
        <v>7800</v>
      </c>
      <c r="E18" s="122">
        <f>D18-C18</f>
        <v>2080</v>
      </c>
      <c r="F18" s="122">
        <f>D18-B18</f>
        <v>-185</v>
      </c>
    </row>
    <row r="19" spans="1:6" ht="30" x14ac:dyDescent="0.25">
      <c r="A19" s="119" t="s">
        <v>81</v>
      </c>
      <c r="B19" s="120">
        <v>0.51370000000000005</v>
      </c>
      <c r="C19" s="5">
        <v>0.45</v>
      </c>
      <c r="D19" s="5">
        <v>0.46279999999999999</v>
      </c>
      <c r="E19" s="5">
        <f>D19-C19</f>
        <v>1.2799999999999978E-2</v>
      </c>
      <c r="F19" s="5">
        <f>D19-B19</f>
        <v>-5.0900000000000056E-2</v>
      </c>
    </row>
    <row r="20" spans="1:6" ht="30" x14ac:dyDescent="0.25">
      <c r="A20" s="119" t="s">
        <v>82</v>
      </c>
      <c r="B20" s="120">
        <v>0.6946</v>
      </c>
      <c r="C20" s="5">
        <v>0.34499999999999997</v>
      </c>
      <c r="D20" s="5">
        <v>0.47339999999999999</v>
      </c>
      <c r="E20" s="5">
        <f>D20-C20</f>
        <v>0.12840000000000001</v>
      </c>
      <c r="F20" s="5">
        <f>D20-B20</f>
        <v>-0.22120000000000001</v>
      </c>
    </row>
    <row r="21" spans="1:6" ht="45" x14ac:dyDescent="0.25">
      <c r="B21" s="115" t="s">
        <v>56</v>
      </c>
      <c r="C21" s="116" t="s">
        <v>4</v>
      </c>
      <c r="D21" s="116" t="s">
        <v>57</v>
      </c>
      <c r="E21" s="2"/>
      <c r="F21" s="2"/>
    </row>
    <row r="22" spans="1:6" x14ac:dyDescent="0.25">
      <c r="A22" s="3" t="s">
        <v>7</v>
      </c>
      <c r="B22" s="121">
        <v>8071579</v>
      </c>
      <c r="C22" s="122">
        <v>5198291.71</v>
      </c>
      <c r="D22" s="5">
        <f>C22/B22</f>
        <v>0.64402413827579463</v>
      </c>
    </row>
    <row r="23" spans="1:6" x14ac:dyDescent="0.25">
      <c r="B23" t="s">
        <v>83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BF10-1F7D-41EA-9175-3E9FECB2FD20}">
  <dimension ref="A1:H14"/>
  <sheetViews>
    <sheetView workbookViewId="0">
      <selection activeCell="E11" sqref="E11"/>
    </sheetView>
  </sheetViews>
  <sheetFormatPr defaultRowHeight="15" x14ac:dyDescent="0.25"/>
  <cols>
    <col min="1" max="1" width="22.5703125" customWidth="1"/>
    <col min="2" max="8" width="18.7109375" customWidth="1"/>
    <col min="9" max="9" width="18" customWidth="1"/>
  </cols>
  <sheetData>
    <row r="1" spans="1:8" ht="15.75" thickBot="1" x14ac:dyDescent="0.3">
      <c r="B1" s="59" t="s">
        <v>84</v>
      </c>
      <c r="C1" s="60"/>
      <c r="D1" s="60"/>
      <c r="E1" s="60"/>
      <c r="F1" s="60"/>
      <c r="G1" s="60"/>
      <c r="H1" s="60"/>
    </row>
    <row r="2" spans="1:8" ht="45" x14ac:dyDescent="0.25">
      <c r="B2" s="123" t="s">
        <v>85</v>
      </c>
      <c r="C2" s="124" t="s">
        <v>71</v>
      </c>
      <c r="D2" s="125" t="s">
        <v>86</v>
      </c>
      <c r="E2" s="125" t="s">
        <v>87</v>
      </c>
      <c r="F2" s="126" t="s">
        <v>88</v>
      </c>
      <c r="G2" s="124" t="s">
        <v>5</v>
      </c>
      <c r="H2" s="124" t="s">
        <v>6</v>
      </c>
    </row>
    <row r="3" spans="1:8" ht="60" x14ac:dyDescent="0.25">
      <c r="A3" s="119" t="s">
        <v>89</v>
      </c>
      <c r="B3" s="127">
        <v>27802</v>
      </c>
      <c r="C3" s="128" t="s">
        <v>90</v>
      </c>
      <c r="D3" s="129">
        <v>9737</v>
      </c>
      <c r="E3" s="129">
        <v>8891</v>
      </c>
      <c r="F3" s="130" t="s">
        <v>91</v>
      </c>
      <c r="G3" s="128" t="s">
        <v>77</v>
      </c>
      <c r="H3" s="131" t="s">
        <v>77</v>
      </c>
    </row>
    <row r="4" spans="1:8" ht="60" x14ac:dyDescent="0.25">
      <c r="A4" s="119" t="s">
        <v>92</v>
      </c>
      <c r="B4" s="132">
        <v>24154</v>
      </c>
      <c r="C4" s="133" t="s">
        <v>90</v>
      </c>
      <c r="D4" s="134">
        <v>5053</v>
      </c>
      <c r="E4" s="134">
        <v>5555</v>
      </c>
      <c r="F4" s="135" t="s">
        <v>91</v>
      </c>
      <c r="G4" s="133" t="s">
        <v>77</v>
      </c>
      <c r="H4" s="136" t="s">
        <v>77</v>
      </c>
    </row>
    <row r="5" spans="1:8" ht="60" x14ac:dyDescent="0.25">
      <c r="A5" s="119" t="s">
        <v>93</v>
      </c>
      <c r="B5" s="137">
        <v>0.72399999999999998</v>
      </c>
      <c r="C5" s="138">
        <v>0.66</v>
      </c>
      <c r="D5" s="138">
        <v>0.69199999999999995</v>
      </c>
      <c r="E5" s="138">
        <v>0.7</v>
      </c>
      <c r="F5" s="139" t="s">
        <v>91</v>
      </c>
      <c r="G5" s="140">
        <v>0.06</v>
      </c>
      <c r="H5" s="141">
        <v>-0.01</v>
      </c>
    </row>
    <row r="6" spans="1:8" ht="75" x14ac:dyDescent="0.25">
      <c r="A6" s="119" t="s">
        <v>94</v>
      </c>
      <c r="B6" s="142">
        <v>7670</v>
      </c>
      <c r="C6" s="143">
        <v>5400</v>
      </c>
      <c r="D6" s="143">
        <v>7151</v>
      </c>
      <c r="E6" s="143">
        <v>7681</v>
      </c>
      <c r="F6" s="144" t="s">
        <v>91</v>
      </c>
      <c r="G6" s="145">
        <v>0.42</v>
      </c>
      <c r="H6" s="146">
        <v>0.03</v>
      </c>
    </row>
    <row r="7" spans="1:8" x14ac:dyDescent="0.25">
      <c r="B7" s="1"/>
    </row>
    <row r="8" spans="1:8" ht="30" x14ac:dyDescent="0.25">
      <c r="B8" s="115" t="s">
        <v>95</v>
      </c>
      <c r="C8" s="116" t="s">
        <v>96</v>
      </c>
      <c r="D8" s="116" t="s">
        <v>97</v>
      </c>
      <c r="E8" s="116" t="s">
        <v>98</v>
      </c>
      <c r="F8" s="116"/>
      <c r="G8" s="116" t="s">
        <v>99</v>
      </c>
      <c r="H8" s="116" t="s">
        <v>57</v>
      </c>
    </row>
    <row r="9" spans="1:8" x14ac:dyDescent="0.25">
      <c r="A9" s="3" t="s">
        <v>7</v>
      </c>
      <c r="B9" s="147">
        <v>6814792</v>
      </c>
      <c r="C9" s="148">
        <v>1896011.81</v>
      </c>
      <c r="D9" s="149">
        <v>1740608.71</v>
      </c>
      <c r="E9" s="150" t="s">
        <v>91</v>
      </c>
      <c r="F9" s="148"/>
      <c r="G9" s="148"/>
      <c r="H9" s="4" t="e">
        <f>+(C9+D9+E9+G9)/B9</f>
        <v>#VALUE!</v>
      </c>
    </row>
    <row r="12" spans="1:8" ht="64.5" customHeight="1" x14ac:dyDescent="0.25">
      <c r="B12" s="151" t="s">
        <v>100</v>
      </c>
      <c r="C12" s="151"/>
      <c r="D12" s="151"/>
      <c r="E12" s="151"/>
      <c r="F12" s="151"/>
      <c r="G12" s="151"/>
      <c r="H12" s="151"/>
    </row>
    <row r="13" spans="1:8" ht="15" customHeight="1" x14ac:dyDescent="0.25">
      <c r="B13" s="152"/>
      <c r="C13" s="152"/>
      <c r="D13" s="152"/>
      <c r="E13" s="152"/>
      <c r="F13" s="152"/>
      <c r="G13" s="152"/>
      <c r="H13" s="152"/>
    </row>
    <row r="14" spans="1:8" ht="31.5" customHeight="1" x14ac:dyDescent="0.25">
      <c r="B14" s="151" t="s">
        <v>101</v>
      </c>
      <c r="C14" s="151"/>
      <c r="D14" s="151"/>
      <c r="E14" s="151"/>
      <c r="F14" s="151"/>
      <c r="G14" s="151"/>
      <c r="H14" s="151"/>
    </row>
  </sheetData>
  <mergeCells count="3">
    <mergeCell ref="B1:H1"/>
    <mergeCell ref="B12:H12"/>
    <mergeCell ref="B14:H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BFE5-CFCD-4625-B291-5CDC2373E371}">
  <dimension ref="A1:D16"/>
  <sheetViews>
    <sheetView zoomScale="130" zoomScaleNormal="130" workbookViewId="0"/>
  </sheetViews>
  <sheetFormatPr defaultRowHeight="15" x14ac:dyDescent="0.25"/>
  <cols>
    <col min="1" max="1" width="32.5703125" customWidth="1"/>
    <col min="2" max="2" width="22.85546875" customWidth="1"/>
    <col min="3" max="3" width="23.42578125" customWidth="1"/>
    <col min="4" max="4" width="19.28515625" customWidth="1"/>
  </cols>
  <sheetData>
    <row r="1" spans="1:4" ht="15.75" thickBot="1" x14ac:dyDescent="0.3">
      <c r="B1" s="59" t="s">
        <v>102</v>
      </c>
      <c r="C1" s="60"/>
      <c r="D1" s="60"/>
    </row>
    <row r="2" spans="1:4" ht="30" x14ac:dyDescent="0.25">
      <c r="B2" s="113" t="s">
        <v>103</v>
      </c>
      <c r="C2" s="114" t="s">
        <v>104</v>
      </c>
      <c r="D2" s="114" t="s">
        <v>6</v>
      </c>
    </row>
    <row r="3" spans="1:4" x14ac:dyDescent="0.25">
      <c r="A3" s="3" t="s">
        <v>105</v>
      </c>
      <c r="B3">
        <v>3586</v>
      </c>
      <c r="C3">
        <v>3314</v>
      </c>
      <c r="D3" s="4">
        <f>C3/B3-1</f>
        <v>-7.5850529838259906E-2</v>
      </c>
    </row>
    <row r="4" spans="1:4" x14ac:dyDescent="0.25">
      <c r="A4" s="3" t="s">
        <v>106</v>
      </c>
      <c r="B4">
        <v>1424</v>
      </c>
      <c r="C4">
        <v>963</v>
      </c>
      <c r="D4" s="4">
        <f>C4/B4-1</f>
        <v>-0.3237359550561798</v>
      </c>
    </row>
    <row r="5" spans="1:4" x14ac:dyDescent="0.25">
      <c r="A5" s="3" t="s">
        <v>107</v>
      </c>
      <c r="B5">
        <v>855</v>
      </c>
      <c r="C5">
        <v>723</v>
      </c>
      <c r="D5" s="4">
        <f>C5/B5-1</f>
        <v>-0.15438596491228074</v>
      </c>
    </row>
    <row r="6" spans="1:4" ht="30" x14ac:dyDescent="0.25">
      <c r="A6" s="153" t="s">
        <v>108</v>
      </c>
      <c r="B6" s="154">
        <v>6008</v>
      </c>
      <c r="C6" s="155" t="s">
        <v>109</v>
      </c>
      <c r="D6" s="4"/>
    </row>
    <row r="7" spans="1:4" x14ac:dyDescent="0.25">
      <c r="B7" s="1"/>
    </row>
    <row r="8" spans="1:4" ht="45" x14ac:dyDescent="0.25">
      <c r="B8" s="115" t="s">
        <v>110</v>
      </c>
      <c r="C8" s="116" t="s">
        <v>111</v>
      </c>
      <c r="D8" s="156" t="s">
        <v>112</v>
      </c>
    </row>
    <row r="9" spans="1:4" x14ac:dyDescent="0.25">
      <c r="A9" s="3" t="s">
        <v>7</v>
      </c>
      <c r="B9" s="154">
        <v>23747408</v>
      </c>
      <c r="C9" s="154">
        <v>15554640</v>
      </c>
      <c r="D9" s="4">
        <f>C9/B9</f>
        <v>0.65500369556121663</v>
      </c>
    </row>
    <row r="11" spans="1:4" x14ac:dyDescent="0.25">
      <c r="B11" s="118"/>
    </row>
    <row r="12" spans="1:4" x14ac:dyDescent="0.25">
      <c r="B12" s="157"/>
    </row>
    <row r="13" spans="1:4" x14ac:dyDescent="0.25">
      <c r="B13" s="118"/>
    </row>
    <row r="14" spans="1:4" x14ac:dyDescent="0.25">
      <c r="B14" s="158"/>
    </row>
    <row r="15" spans="1:4" x14ac:dyDescent="0.25">
      <c r="B15" s="158"/>
    </row>
    <row r="16" spans="1:4" x14ac:dyDescent="0.25">
      <c r="B16" s="13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6839-4868-48A3-93BD-C920803D3042}">
  <dimension ref="A1:G34"/>
  <sheetViews>
    <sheetView workbookViewId="0">
      <selection activeCell="A30" sqref="A30:G34"/>
    </sheetView>
  </sheetViews>
  <sheetFormatPr defaultRowHeight="15" x14ac:dyDescent="0.25"/>
  <cols>
    <col min="1" max="1" width="28.140625" customWidth="1"/>
    <col min="2" max="2" width="16.85546875" customWidth="1"/>
    <col min="3" max="3" width="15.140625" customWidth="1"/>
    <col min="4" max="4" width="26.28515625" customWidth="1"/>
  </cols>
  <sheetData>
    <row r="1" spans="1:4" ht="23.25" x14ac:dyDescent="0.25">
      <c r="A1" s="159" t="s">
        <v>113</v>
      </c>
    </row>
    <row r="2" spans="1:4" ht="30" x14ac:dyDescent="0.25">
      <c r="A2" s="160" t="s">
        <v>114</v>
      </c>
      <c r="B2" s="161" t="s">
        <v>115</v>
      </c>
      <c r="C2" s="161" t="s">
        <v>116</v>
      </c>
      <c r="D2" s="162" t="s">
        <v>117</v>
      </c>
    </row>
    <row r="3" spans="1:4" x14ac:dyDescent="0.25">
      <c r="A3" s="163" t="s">
        <v>0</v>
      </c>
      <c r="B3" s="164">
        <v>71</v>
      </c>
      <c r="C3" s="164">
        <v>28</v>
      </c>
      <c r="D3" s="165">
        <v>-0.61</v>
      </c>
    </row>
    <row r="4" spans="1:4" x14ac:dyDescent="0.25">
      <c r="A4" s="163" t="s">
        <v>73</v>
      </c>
      <c r="B4" s="164">
        <v>31</v>
      </c>
      <c r="C4" s="164">
        <v>16</v>
      </c>
      <c r="D4" s="165">
        <v>-0.48</v>
      </c>
    </row>
    <row r="5" spans="1:4" x14ac:dyDescent="0.25">
      <c r="A5" s="163" t="s">
        <v>53</v>
      </c>
      <c r="B5" s="164">
        <v>38</v>
      </c>
      <c r="C5" s="164">
        <v>16</v>
      </c>
      <c r="D5" s="165">
        <v>-0.57999999999999996</v>
      </c>
    </row>
    <row r="6" spans="1:4" x14ac:dyDescent="0.25">
      <c r="A6" s="163" t="s">
        <v>118</v>
      </c>
      <c r="B6" s="166">
        <v>15.08</v>
      </c>
      <c r="C6" s="166">
        <v>13.84</v>
      </c>
      <c r="D6" s="165">
        <v>-0.08</v>
      </c>
    </row>
    <row r="7" spans="1:4" x14ac:dyDescent="0.25">
      <c r="A7" s="163" t="s">
        <v>119</v>
      </c>
      <c r="B7" s="166">
        <v>139503</v>
      </c>
      <c r="C7" s="166">
        <v>40904</v>
      </c>
      <c r="D7" s="165">
        <v>-0.71</v>
      </c>
    </row>
    <row r="8" spans="1:4" x14ac:dyDescent="0.25">
      <c r="A8" s="163" t="s">
        <v>120</v>
      </c>
      <c r="B8" s="166">
        <v>36879</v>
      </c>
      <c r="C8" s="166">
        <v>23373.05</v>
      </c>
      <c r="D8" s="165">
        <v>-0.37</v>
      </c>
    </row>
    <row r="9" spans="1:4" x14ac:dyDescent="0.25">
      <c r="A9" s="163" t="s">
        <v>121</v>
      </c>
      <c r="B9" s="166">
        <v>221258</v>
      </c>
      <c r="C9" s="166">
        <v>73360</v>
      </c>
      <c r="D9" s="165">
        <v>-0.67</v>
      </c>
    </row>
    <row r="10" spans="1:4" x14ac:dyDescent="0.25">
      <c r="A10" s="163" t="s">
        <v>122</v>
      </c>
      <c r="B10" s="166">
        <v>397640</v>
      </c>
      <c r="C10" s="166">
        <v>137637.04999999999</v>
      </c>
      <c r="D10" s="165">
        <v>-0.65</v>
      </c>
    </row>
    <row r="12" spans="1:4" ht="23.25" x14ac:dyDescent="0.25">
      <c r="A12" s="159" t="s">
        <v>123</v>
      </c>
    </row>
    <row r="13" spans="1:4" ht="24" thickBot="1" x14ac:dyDescent="0.3">
      <c r="A13" s="159" t="s">
        <v>124</v>
      </c>
    </row>
    <row r="14" spans="1:4" ht="30.75" thickBot="1" x14ac:dyDescent="0.3">
      <c r="A14" s="167" t="s">
        <v>125</v>
      </c>
      <c r="B14" s="168" t="s">
        <v>17</v>
      </c>
    </row>
    <row r="15" spans="1:4" ht="15.75" thickBot="1" x14ac:dyDescent="0.3">
      <c r="A15" s="169" t="s">
        <v>126</v>
      </c>
      <c r="B15" s="170">
        <v>54</v>
      </c>
    </row>
    <row r="16" spans="1:4" ht="15.75" thickBot="1" x14ac:dyDescent="0.3">
      <c r="A16" s="169" t="s">
        <v>127</v>
      </c>
      <c r="B16" s="170">
        <v>1</v>
      </c>
    </row>
    <row r="17" spans="1:7" ht="15.75" thickBot="1" x14ac:dyDescent="0.3">
      <c r="A17" s="169" t="s">
        <v>128</v>
      </c>
      <c r="B17" s="170">
        <v>10</v>
      </c>
    </row>
    <row r="18" spans="1:7" ht="15.75" thickBot="1" x14ac:dyDescent="0.3">
      <c r="A18" s="169" t="s">
        <v>129</v>
      </c>
      <c r="B18" s="170">
        <v>15</v>
      </c>
    </row>
    <row r="19" spans="1:7" ht="15.75" thickBot="1" x14ac:dyDescent="0.3">
      <c r="A19" s="169" t="s">
        <v>130</v>
      </c>
      <c r="B19" s="170">
        <v>6</v>
      </c>
    </row>
    <row r="20" spans="1:7" ht="15.75" thickBot="1" x14ac:dyDescent="0.3">
      <c r="A20" s="169" t="s">
        <v>131</v>
      </c>
      <c r="B20" s="170">
        <v>26</v>
      </c>
    </row>
    <row r="21" spans="1:7" ht="15.75" thickBot="1" x14ac:dyDescent="0.3">
      <c r="A21" s="171" t="s">
        <v>17</v>
      </c>
      <c r="B21" s="172" t="s">
        <v>132</v>
      </c>
    </row>
    <row r="22" spans="1:7" ht="24" thickBot="1" x14ac:dyDescent="0.3">
      <c r="A22" s="159" t="s">
        <v>133</v>
      </c>
    </row>
    <row r="23" spans="1:7" ht="45.75" thickBot="1" x14ac:dyDescent="0.3">
      <c r="A23" s="173" t="s">
        <v>74</v>
      </c>
      <c r="B23" s="174" t="s">
        <v>134</v>
      </c>
      <c r="C23" s="174" t="s">
        <v>135</v>
      </c>
      <c r="D23" s="175" t="s">
        <v>136</v>
      </c>
    </row>
    <row r="24" spans="1:7" ht="16.5" thickTop="1" thickBot="1" x14ac:dyDescent="0.3">
      <c r="A24" s="176">
        <v>2021</v>
      </c>
      <c r="B24" s="177">
        <v>18.27</v>
      </c>
      <c r="C24" s="177">
        <v>17.43</v>
      </c>
      <c r="D24" s="178">
        <v>17.899999999999999</v>
      </c>
    </row>
    <row r="25" spans="1:7" ht="15.75" thickBot="1" x14ac:dyDescent="0.3">
      <c r="A25" s="179">
        <v>2022</v>
      </c>
      <c r="B25" s="180">
        <v>20.28</v>
      </c>
      <c r="C25" s="180">
        <v>14.38</v>
      </c>
      <c r="D25" s="181">
        <v>17.16</v>
      </c>
    </row>
    <row r="26" spans="1:7" ht="15.75" thickBot="1" x14ac:dyDescent="0.3">
      <c r="A26" s="179">
        <v>2023</v>
      </c>
      <c r="B26" s="180">
        <v>19.55</v>
      </c>
      <c r="C26" s="180">
        <v>14.34</v>
      </c>
      <c r="D26" s="181">
        <v>16.95</v>
      </c>
    </row>
    <row r="27" spans="1:7" ht="15.75" thickBot="1" x14ac:dyDescent="0.3">
      <c r="A27" s="179">
        <v>2024</v>
      </c>
      <c r="B27" s="180">
        <v>16.63</v>
      </c>
      <c r="C27" s="180">
        <v>12.17</v>
      </c>
      <c r="D27" s="181">
        <v>13.95</v>
      </c>
    </row>
    <row r="28" spans="1:7" ht="15.75" thickBot="1" x14ac:dyDescent="0.3">
      <c r="A28" s="182" t="s">
        <v>17</v>
      </c>
      <c r="B28" s="183">
        <v>19.28</v>
      </c>
      <c r="C28" s="183">
        <v>14.98</v>
      </c>
      <c r="D28" s="184">
        <v>17.13</v>
      </c>
    </row>
    <row r="29" spans="1:7" ht="24" thickBot="1" x14ac:dyDescent="0.3">
      <c r="A29" s="159" t="s">
        <v>137</v>
      </c>
    </row>
    <row r="30" spans="1:7" ht="30.75" thickBot="1" x14ac:dyDescent="0.3">
      <c r="A30" s="167" t="s">
        <v>138</v>
      </c>
      <c r="B30" s="185" t="s">
        <v>139</v>
      </c>
      <c r="C30" s="185" t="s">
        <v>140</v>
      </c>
      <c r="D30" s="185" t="s">
        <v>141</v>
      </c>
      <c r="E30" s="185" t="s">
        <v>142</v>
      </c>
      <c r="F30" s="185" t="s">
        <v>143</v>
      </c>
      <c r="G30" s="186" t="s">
        <v>144</v>
      </c>
    </row>
    <row r="31" spans="1:7" ht="24" thickBot="1" x14ac:dyDescent="0.4">
      <c r="A31" s="169" t="s">
        <v>145</v>
      </c>
      <c r="B31" s="187">
        <v>11</v>
      </c>
      <c r="C31" s="187">
        <v>11</v>
      </c>
      <c r="D31" s="187">
        <v>29</v>
      </c>
      <c r="E31" s="188"/>
      <c r="F31" s="187">
        <v>1</v>
      </c>
      <c r="G31" s="189">
        <v>1</v>
      </c>
    </row>
    <row r="32" spans="1:7" ht="15.75" thickBot="1" x14ac:dyDescent="0.3">
      <c r="A32" s="169" t="s">
        <v>146</v>
      </c>
      <c r="B32" s="187">
        <v>20</v>
      </c>
      <c r="C32" s="187">
        <v>26</v>
      </c>
      <c r="D32" s="187">
        <v>238</v>
      </c>
      <c r="E32" s="187">
        <v>13</v>
      </c>
      <c r="F32" s="187">
        <v>6</v>
      </c>
      <c r="G32" s="189">
        <v>5</v>
      </c>
    </row>
    <row r="33" spans="1:7" ht="24" thickBot="1" x14ac:dyDescent="0.4">
      <c r="A33" s="169" t="s">
        <v>147</v>
      </c>
      <c r="B33" s="187">
        <v>10</v>
      </c>
      <c r="C33" s="187">
        <v>15</v>
      </c>
      <c r="D33" s="187">
        <v>182</v>
      </c>
      <c r="E33" s="188"/>
      <c r="F33" s="188"/>
      <c r="G33" s="190"/>
    </row>
    <row r="34" spans="1:7" ht="15.75" thickBot="1" x14ac:dyDescent="0.3">
      <c r="A34" s="171" t="s">
        <v>17</v>
      </c>
      <c r="B34" s="191">
        <v>41</v>
      </c>
      <c r="C34" s="191">
        <v>52</v>
      </c>
      <c r="D34" s="191">
        <v>449</v>
      </c>
      <c r="E34" s="191">
        <v>13</v>
      </c>
      <c r="F34" s="191">
        <v>7</v>
      </c>
      <c r="G34" s="19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6" ma:contentTypeDescription="Create a new document." ma:contentTypeScope="" ma:versionID="1c7457193f8082f5ad34059445ec5107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0c9e20a163fba85c7e3b6114a23e963f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73086c2-3f16-41ce-a42d-6f789dd4e1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D295E-28CC-4386-802C-4E70F54C4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Title I Adult (WC)</vt:lpstr>
      <vt:lpstr>Title I DW (WC)</vt:lpstr>
      <vt:lpstr>Title I Youth (WC)</vt:lpstr>
      <vt:lpstr>Title I Adult Q3 (NVWorks)</vt:lpstr>
      <vt:lpstr>Title I DW Q3 (NVWorks)</vt:lpstr>
      <vt:lpstr>Title I Youth Q3 (NVWorks)</vt:lpstr>
      <vt:lpstr>Title II April 17</vt:lpstr>
      <vt:lpstr>Title III</vt:lpstr>
      <vt:lpstr>Title IV</vt:lpstr>
      <vt:lpstr>DWSS</vt:lpstr>
      <vt:lpstr>'Title I Adult (WC)'!Print_Area</vt:lpstr>
      <vt:lpstr>'Title I DW (WC)'!Print_Area</vt:lpstr>
      <vt:lpstr>'Title I Youth (WC)'!Print_Area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Katelin Gilbertson</cp:lastModifiedBy>
  <cp:lastPrinted>2024-04-02T16:46:29Z</cp:lastPrinted>
  <dcterms:created xsi:type="dcterms:W3CDTF">2023-11-08T01:05:58Z</dcterms:created>
  <dcterms:modified xsi:type="dcterms:W3CDTF">2024-04-06T01:45:47Z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